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7c9b6769175bce96/Documents/FCCPA Claude Work/FCCPA Articles/"/>
    </mc:Choice>
  </mc:AlternateContent>
  <xr:revisionPtr revIDLastSave="7" documentId="13_ncr:1_{C984A7D9-E7C8-4599-9AB4-4945785938F3}" xr6:coauthVersionLast="47" xr6:coauthVersionMax="47" xr10:uidLastSave="{460D4AE8-31D6-4FBC-8C77-0B60E07D8DDB}"/>
  <bookViews>
    <workbookView xWindow="-108" yWindow="-108" windowWidth="23256" windowHeight="12456" tabRatio="500" xr2:uid="{00000000-000D-0000-FFFF-FFFF00000000}"/>
  </bookViews>
  <sheets>
    <sheet name="Exchange Calculator" sheetId="1" r:id="rId1"/>
    <sheet name="Basis Allocation" sheetId="2" r:id="rId2"/>
    <sheet name="Depreciation Schedule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1" i="1" l="1"/>
  <c r="C31" i="1"/>
  <c r="B46" i="1"/>
  <c r="B66" i="1" s="1"/>
  <c r="D29" i="1"/>
  <c r="C29" i="1"/>
  <c r="B16" i="1"/>
  <c r="B17" i="1" s="1"/>
  <c r="B19" i="1" s="1"/>
  <c r="B8" i="1"/>
  <c r="B11" i="1" s="1"/>
  <c r="B13" i="1" s="1"/>
  <c r="B29" i="3"/>
  <c r="B28" i="3"/>
  <c r="B27" i="3"/>
  <c r="B26" i="3"/>
  <c r="B25" i="3"/>
  <c r="B24" i="3"/>
  <c r="B23" i="3"/>
  <c r="B22" i="3"/>
  <c r="B21" i="3"/>
  <c r="B20" i="3"/>
  <c r="E12" i="3"/>
  <c r="D12" i="3"/>
  <c r="C12" i="3"/>
  <c r="E8" i="3"/>
  <c r="D8" i="3"/>
  <c r="C8" i="3"/>
  <c r="E7" i="3"/>
  <c r="D7" i="3"/>
  <c r="C7" i="3"/>
  <c r="B59" i="2"/>
  <c r="B58" i="2"/>
  <c r="B57" i="2"/>
  <c r="B56" i="2"/>
  <c r="B55" i="2"/>
  <c r="B54" i="2"/>
  <c r="B53" i="2"/>
  <c r="B52" i="2"/>
  <c r="B51" i="2"/>
  <c r="B50" i="2"/>
  <c r="E21" i="2"/>
  <c r="D21" i="2"/>
  <c r="C21" i="2"/>
  <c r="E20" i="2"/>
  <c r="D20" i="2"/>
  <c r="C20" i="2"/>
  <c r="B20" i="2"/>
  <c r="E19" i="2"/>
  <c r="D19" i="2"/>
  <c r="C19" i="2"/>
  <c r="C43" i="2" s="1"/>
  <c r="E18" i="2"/>
  <c r="D18" i="2"/>
  <c r="C18" i="2"/>
  <c r="E17" i="2"/>
  <c r="D17" i="2"/>
  <c r="C17" i="2"/>
  <c r="B9" i="2"/>
  <c r="B105" i="1"/>
  <c r="B104" i="1"/>
  <c r="B103" i="1"/>
  <c r="B102" i="1"/>
  <c r="B69" i="1"/>
  <c r="B12" i="2" s="1"/>
  <c r="B54" i="1"/>
  <c r="B43" i="1"/>
  <c r="E34" i="1"/>
  <c r="D34" i="1"/>
  <c r="E33" i="1"/>
  <c r="E22" i="2" s="1"/>
  <c r="E37" i="2" s="1"/>
  <c r="D33" i="1"/>
  <c r="D22" i="2" s="1"/>
  <c r="D37" i="2" s="1"/>
  <c r="C33" i="1"/>
  <c r="C22" i="2" s="1"/>
  <c r="C37" i="2" s="1"/>
  <c r="E32" i="1"/>
  <c r="D32" i="1"/>
  <c r="B32" i="1" s="1"/>
  <c r="C32" i="1"/>
  <c r="E31" i="1"/>
  <c r="D31" i="1"/>
  <c r="B31" i="1"/>
  <c r="B29" i="1"/>
  <c r="B19" i="2" s="1"/>
  <c r="B28" i="1"/>
  <c r="B10" i="2" s="1"/>
  <c r="B27" i="1"/>
  <c r="B44" i="1" s="1"/>
  <c r="B26" i="1"/>
  <c r="B39" i="1" s="1"/>
  <c r="F7" i="3" l="1"/>
  <c r="F8" i="3"/>
  <c r="B26" i="2"/>
  <c r="C34" i="1"/>
  <c r="B34" i="1" s="1"/>
  <c r="B38" i="1"/>
  <c r="B40" i="1" s="1"/>
  <c r="B7" i="2"/>
  <c r="B64" i="1"/>
  <c r="B45" i="1"/>
  <c r="B47" i="1"/>
  <c r="D43" i="2"/>
  <c r="B43" i="2" s="1"/>
  <c r="E43" i="2"/>
  <c r="E34" i="2"/>
  <c r="C13" i="3"/>
  <c r="B67" i="1"/>
  <c r="D34" i="2"/>
  <c r="D13" i="3"/>
  <c r="C34" i="2"/>
  <c r="B18" i="2"/>
  <c r="E13" i="3"/>
  <c r="B68" i="1"/>
  <c r="B11" i="2" s="1"/>
  <c r="B50" i="1"/>
  <c r="B53" i="1" s="1"/>
  <c r="B55" i="1" s="1"/>
  <c r="B59" i="1" s="1"/>
  <c r="C27" i="2" l="1"/>
  <c r="D27" i="2"/>
  <c r="E27" i="2"/>
  <c r="B95" i="1"/>
  <c r="B93" i="1"/>
  <c r="B92" i="1"/>
  <c r="B58" i="1"/>
  <c r="B94" i="1"/>
  <c r="B60" i="1" l="1"/>
  <c r="B96" i="1"/>
  <c r="B8" i="2" l="1"/>
  <c r="B88" i="1"/>
  <c r="B65" i="1"/>
  <c r="B70" i="1" s="1"/>
  <c r="B13" i="2" s="1"/>
  <c r="B87" i="1"/>
  <c r="B81" i="1"/>
  <c r="B82" i="1"/>
  <c r="B85" i="1" s="1"/>
  <c r="B61" i="1"/>
  <c r="B83" i="1" l="1"/>
  <c r="B86" i="1" s="1"/>
  <c r="B89" i="1" s="1"/>
  <c r="B97" i="1" s="1"/>
  <c r="E28" i="2"/>
  <c r="D28" i="2"/>
  <c r="C28" i="2"/>
  <c r="B28" i="2"/>
  <c r="B33" i="2" s="1"/>
  <c r="C9" i="3" l="1"/>
  <c r="B29" i="2"/>
  <c r="C33" i="2"/>
  <c r="D33" i="2"/>
  <c r="D9" i="3"/>
  <c r="C29" i="2"/>
  <c r="E33" i="2"/>
  <c r="E9" i="3"/>
  <c r="E35" i="2" l="1"/>
  <c r="E10" i="3" s="1"/>
  <c r="D35" i="2"/>
  <c r="D10" i="3" s="1"/>
  <c r="C35" i="2"/>
  <c r="F9" i="3"/>
  <c r="E36" i="2" l="1"/>
  <c r="E38" i="2" s="1"/>
  <c r="B35" i="2"/>
  <c r="C10" i="3"/>
  <c r="F10" i="3" s="1"/>
  <c r="C36" i="2"/>
  <c r="D36" i="2"/>
  <c r="E11" i="3" l="1"/>
  <c r="D11" i="3"/>
  <c r="D38" i="2"/>
  <c r="E14" i="3"/>
  <c r="E59" i="2"/>
  <c r="E57" i="2"/>
  <c r="E55" i="2"/>
  <c r="E53" i="2"/>
  <c r="E51" i="2"/>
  <c r="E58" i="2"/>
  <c r="E42" i="2"/>
  <c r="E44" i="2" s="1"/>
  <c r="E45" i="2" s="1"/>
  <c r="E56" i="2"/>
  <c r="E52" i="2"/>
  <c r="E50" i="2"/>
  <c r="E54" i="2"/>
  <c r="C11" i="3"/>
  <c r="B36" i="2"/>
  <c r="C38" i="2"/>
  <c r="F11" i="3" l="1"/>
  <c r="D42" i="2"/>
  <c r="D44" i="2" s="1"/>
  <c r="D45" i="2" s="1"/>
  <c r="D14" i="3"/>
  <c r="D59" i="2"/>
  <c r="D57" i="2"/>
  <c r="D55" i="2"/>
  <c r="D53" i="2"/>
  <c r="D51" i="2"/>
  <c r="D56" i="2"/>
  <c r="D54" i="2"/>
  <c r="D52" i="2"/>
  <c r="D50" i="2"/>
  <c r="D58" i="2"/>
  <c r="C42" i="2"/>
  <c r="C54" i="2"/>
  <c r="C52" i="2"/>
  <c r="C50" i="2"/>
  <c r="C14" i="3"/>
  <c r="C59" i="2"/>
  <c r="C57" i="2"/>
  <c r="C55" i="2"/>
  <c r="C53" i="2"/>
  <c r="F53" i="2" s="1"/>
  <c r="C51" i="2"/>
  <c r="C58" i="2"/>
  <c r="C56" i="2"/>
  <c r="B38" i="2"/>
  <c r="E29" i="3"/>
  <c r="E27" i="3"/>
  <c r="E25" i="3"/>
  <c r="E23" i="3"/>
  <c r="E21" i="3"/>
  <c r="E24" i="3"/>
  <c r="E28" i="3"/>
  <c r="E20" i="3"/>
  <c r="E22" i="3"/>
  <c r="E26" i="3"/>
  <c r="E60" i="2"/>
  <c r="F57" i="2" l="1"/>
  <c r="F55" i="2"/>
  <c r="F51" i="2"/>
  <c r="F56" i="2"/>
  <c r="F58" i="2"/>
  <c r="F59" i="2"/>
  <c r="C20" i="3"/>
  <c r="F14" i="3"/>
  <c r="C24" i="3"/>
  <c r="C28" i="3"/>
  <c r="C26" i="3"/>
  <c r="C29" i="3"/>
  <c r="C27" i="3"/>
  <c r="C25" i="3"/>
  <c r="C23" i="3"/>
  <c r="C21" i="3"/>
  <c r="C22" i="3"/>
  <c r="C60" i="2"/>
  <c r="F50" i="2"/>
  <c r="D60" i="2"/>
  <c r="F52" i="2"/>
  <c r="E30" i="3"/>
  <c r="F54" i="2"/>
  <c r="D26" i="3"/>
  <c r="D22" i="3"/>
  <c r="D24" i="3"/>
  <c r="D29" i="3"/>
  <c r="D27" i="3"/>
  <c r="D25" i="3"/>
  <c r="D23" i="3"/>
  <c r="D21" i="3"/>
  <c r="D28" i="3"/>
  <c r="D20" i="3"/>
  <c r="B42" i="2"/>
  <c r="C44" i="2"/>
  <c r="F23" i="3" l="1"/>
  <c r="F21" i="3"/>
  <c r="F28" i="3"/>
  <c r="F22" i="3"/>
  <c r="F26" i="3"/>
  <c r="F25" i="3"/>
  <c r="C45" i="2"/>
  <c r="B45" i="2" s="1"/>
  <c r="B44" i="2"/>
  <c r="F24" i="3"/>
  <c r="C30" i="3"/>
  <c r="F20" i="3"/>
  <c r="F27" i="3"/>
  <c r="F29" i="3"/>
  <c r="D30" i="3"/>
  <c r="F60" i="2"/>
  <c r="H50" i="2"/>
  <c r="H51" i="2" s="1"/>
  <c r="H52" i="2" s="1"/>
  <c r="H53" i="2" s="1"/>
  <c r="H54" i="2" s="1"/>
  <c r="H55" i="2" s="1"/>
  <c r="H56" i="2" s="1"/>
  <c r="H57" i="2" s="1"/>
  <c r="H58" i="2" s="1"/>
  <c r="H59" i="2" s="1"/>
  <c r="H60" i="2" s="1"/>
  <c r="F30" i="3" l="1"/>
  <c r="I20" i="3"/>
  <c r="I21" i="3" s="1"/>
  <c r="I22" i="3" s="1"/>
  <c r="I23" i="3" s="1"/>
  <c r="I24" i="3" s="1"/>
  <c r="I25" i="3" s="1"/>
  <c r="I26" i="3" s="1"/>
  <c r="I27" i="3" s="1"/>
  <c r="I28" i="3" s="1"/>
  <c r="I29" i="3" s="1"/>
  <c r="I30" i="3" s="1"/>
</calcChain>
</file>

<file path=xl/sharedStrings.xml><?xml version="1.0" encoding="utf-8"?>
<sst xmlns="http://schemas.openxmlformats.org/spreadsheetml/2006/main" count="272" uniqueCount="211">
  <si>
    <t>1031 LIKE-KIND EXCHANGE CALCULATOR</t>
  </si>
  <si>
    <t>Real Estate Tax-Deferred Exchange Analysis  |  IRC Section 1031</t>
  </si>
  <si>
    <t>Blue = Input   |   Black = Formula   |   Yellow BG = Key Assumption</t>
  </si>
  <si>
    <t xml:space="preserve">  SECTION 1 - RELINQUISHED PROPERTY (Property Being Sold)</t>
  </si>
  <si>
    <t>Description</t>
  </si>
  <si>
    <t>Amount</t>
  </si>
  <si>
    <t>Notes</t>
  </si>
  <si>
    <t>Property Name / Address</t>
  </si>
  <si>
    <t>Original Purchase Price</t>
  </si>
  <si>
    <t>Total price paid at acquisition</t>
  </si>
  <si>
    <t xml:space="preserve">   Capital Improvements Added</t>
  </si>
  <si>
    <t>Post-acquisition capital expenditures added to basis</t>
  </si>
  <si>
    <t xml:space="preserve">   Land Value (non-depreciable)</t>
  </si>
  <si>
    <t>Portion of cost that is non-depreciable land</t>
  </si>
  <si>
    <t>Total Cost Basis (Purchase + Improvements)</t>
  </si>
  <si>
    <t>Purchase Price + Capital Improvements</t>
  </si>
  <si>
    <t>Accumulated Depreciation Taken</t>
  </si>
  <si>
    <t>Total depreciation claimed on all prior tax returns</t>
  </si>
  <si>
    <t>Adjusted Tax Basis</t>
  </si>
  <si>
    <t>Total Cost Basis - Accumulated Depreciation</t>
  </si>
  <si>
    <t>Gross Sale Price</t>
  </si>
  <si>
    <t xml:space="preserve">   Less: Selling Costs</t>
  </si>
  <si>
    <t>Typically 5-6% of sale price</t>
  </si>
  <si>
    <t>Amount Realized (Net Sale Proceeds)</t>
  </si>
  <si>
    <t>Gross Sale Price - Selling Costs</t>
  </si>
  <si>
    <t>Existing Mortgage Balance (Debt Relieved)</t>
  </si>
  <si>
    <t>Loan balance paid off or assumed by buyer</t>
  </si>
  <si>
    <t>Net Exchange Equity (Cash to QI)</t>
  </si>
  <si>
    <t>Cash held by Qualified Intermediary</t>
  </si>
  <si>
    <t xml:space="preserve">  TOTAL REALIZED GAIN</t>
  </si>
  <si>
    <t>Amount Realized - Adjusted Basis</t>
  </si>
  <si>
    <t xml:space="preserve">  SECTION 2 - REPLACEMENT PROPERTIES (Up to 3 Properties)</t>
  </si>
  <si>
    <t>Total</t>
  </si>
  <si>
    <t>Property 1</t>
  </si>
  <si>
    <t>Property 2</t>
  </si>
  <si>
    <t>Property 3</t>
  </si>
  <si>
    <t>Purchase Price (Fair Market Value)</t>
  </si>
  <si>
    <t>New Loan / Mortgage Amount</t>
  </si>
  <si>
    <t>New debt on replacement property</t>
  </si>
  <si>
    <t>Closing / Acquisition Costs</t>
  </si>
  <si>
    <t xml:space="preserve">   Estimated Land Value</t>
  </si>
  <si>
    <t>Used for depreciation and basis allocation (Sheet 2)</t>
  </si>
  <si>
    <t xml:space="preserve">   Property Type</t>
  </si>
  <si>
    <t>Residential</t>
  </si>
  <si>
    <t>Residential = 27.5 yrs  |  Commercial = 39 yrs</t>
  </si>
  <si>
    <t>Total Acquisition Cost (Price + Closing)</t>
  </si>
  <si>
    <t>Equity Required (Price - New Loan)</t>
  </si>
  <si>
    <t xml:space="preserve">   Depreciation Life (Years)</t>
  </si>
  <si>
    <t xml:space="preserve">   Est. Annual Depreciation (see Sheet 2 for correct basis)</t>
  </si>
  <si>
    <t>Simplified - see Basis Allocation sheet for correct §1031 basis</t>
  </si>
  <si>
    <t xml:space="preserve">  SECTION 3 - EXCHANGE ANALYSIS &amp; BOOT CALCULATION</t>
  </si>
  <si>
    <t xml:space="preserve">  EXCHANGE VALUE TEST  (Replacement value must be &gt;= Amount Realized)</t>
  </si>
  <si>
    <t>Amount Realized (Relinquished)</t>
  </si>
  <si>
    <t>Linked from Section 1</t>
  </si>
  <si>
    <t>Total Replacement Property Value</t>
  </si>
  <si>
    <t>Linked from Section 2 total</t>
  </si>
  <si>
    <t>Value Requirement Status</t>
  </si>
  <si>
    <t xml:space="preserve">  DEBT TEST  (New debt + outside cash must be &gt;= old mortgage)</t>
  </si>
  <si>
    <t>Old Mortgage Balance</t>
  </si>
  <si>
    <t>Total New Mortgage Debt</t>
  </si>
  <si>
    <t>Debt Shortfall (if any)</t>
  </si>
  <si>
    <t>Must be covered by outside cash to avoid mortgage boot</t>
  </si>
  <si>
    <t>Additional Outside Cash Paid In</t>
  </si>
  <si>
    <t>Cash from personal funds (not exchange proceeds)</t>
  </si>
  <si>
    <t>Debt Requirement Status</t>
  </si>
  <si>
    <t xml:space="preserve">  BOOT CALCULATION</t>
  </si>
  <si>
    <t>Mortgage Boot (Old Debt - New Debt, if positive)</t>
  </si>
  <si>
    <t>Debt relief in excess of new debt = taxable boot</t>
  </si>
  <si>
    <t>Cash Boot Received</t>
  </si>
  <si>
    <t>Cash pulled out of exchange escrow</t>
  </si>
  <si>
    <t>Other Boot (non-like-kind property)</t>
  </si>
  <si>
    <t xml:space="preserve">   Total Boot (Before Cash Offset)</t>
  </si>
  <si>
    <t xml:space="preserve">   Less: Additional Outside Cash</t>
  </si>
  <si>
    <t>Offsets mortgage boot dollar-for-dollar</t>
  </si>
  <si>
    <t xml:space="preserve">  NET TAXABLE BOOT</t>
  </si>
  <si>
    <t>MAX(0, Total Boot - Outside Cash)</t>
  </si>
  <si>
    <t xml:space="preserve">  SECTION 4 - GAIN RECOGNITION &amp; DEFERRAL</t>
  </si>
  <si>
    <t>Total Realized Gain</t>
  </si>
  <si>
    <t>Net Taxable Boot</t>
  </si>
  <si>
    <t>Gain Recognized (Lesser of Gain or Boot)</t>
  </si>
  <si>
    <t>MIN(Realized Gain, Net Taxable Boot)</t>
  </si>
  <si>
    <t xml:space="preserve">  GAIN DEFERRED (Tax-Free via Section 1031)</t>
  </si>
  <si>
    <t>Carries into replacement property as reduced basis</t>
  </si>
  <si>
    <t xml:space="preserve">  SECTION 5 - NEW TAX BASIS IN REPLACEMENT PROPERTY</t>
  </si>
  <si>
    <t>Old Adjusted Basis (Carried Over)</t>
  </si>
  <si>
    <t>Add: Gain Recognized</t>
  </si>
  <si>
    <t>Add: Additional Outside Cash Paid</t>
  </si>
  <si>
    <t>Add: New Closing Costs</t>
  </si>
  <si>
    <t>Add: Net Debt Change (New Total - Old Mortgage)</t>
  </si>
  <si>
    <t>Taking on more debt than relieved increases basis - see Reg. Section 1.1031(d)-1</t>
  </si>
  <si>
    <t>Less: Cash Boot Received</t>
  </si>
  <si>
    <t xml:space="preserve">  NEW TAX BASIS IN REPLACEMENT PROPERTY</t>
  </si>
  <si>
    <t>See Basis Allocation sheet for land/building split</t>
  </si>
  <si>
    <t>Old AB + Gain Recognized + Cash + Closing Costs + Net Debt Change - Boot</t>
  </si>
  <si>
    <t xml:space="preserve">  SECTION 6 - TAX IMPACT ANALYSIS (On Any Recognized Gain)</t>
  </si>
  <si>
    <t xml:space="preserve">  TAX RATE ASSUMPTIONS (Yellow = adjust to your situation)</t>
  </si>
  <si>
    <t>Federal Long-Term Capital Gains Rate</t>
  </si>
  <si>
    <t>0%, 15%, or 20% depending on taxable income</t>
  </si>
  <si>
    <t>Depreciation Recapture Rate (Unrecaptured Section 1250)</t>
  </si>
  <si>
    <t>Maximum 25% federal rate on Section 1250 recapture</t>
  </si>
  <si>
    <t>Net Investment Income Tax (NIIT) Rate</t>
  </si>
  <si>
    <t>3.8% if AGI over $200K single / $250K married</t>
  </si>
  <si>
    <t>State Income Tax Rate</t>
  </si>
  <si>
    <t>Enter 0% if your state has no income tax</t>
  </si>
  <si>
    <t>Apply NIIT? (Yes / No)</t>
  </si>
  <si>
    <t>Yes</t>
  </si>
  <si>
    <t>Enter Yes if your AGI exceeds the NIIT threshold</t>
  </si>
  <si>
    <t xml:space="preserve">  TAX CALCULATIONS (On Gain Recognized)</t>
  </si>
  <si>
    <t>Gain Recognized</t>
  </si>
  <si>
    <t>Unrecaptured Section 1250 Gain (Depreciation Recapture)</t>
  </si>
  <si>
    <t>Lesser of Accumulated Depreciation or Gain Recognized</t>
  </si>
  <si>
    <t>Section 1231 / Long-Term Capital Gain</t>
  </si>
  <si>
    <t>Gain Recognized - Depreciation Recapture</t>
  </si>
  <si>
    <t>Federal Depreciation Recapture Tax</t>
  </si>
  <si>
    <t>Federal Long-Term Capital Gains Tax</t>
  </si>
  <si>
    <t>Net Investment Income Tax (NIIT)</t>
  </si>
  <si>
    <t>State Income Tax</t>
  </si>
  <si>
    <t xml:space="preserve">  TOTAL TAX DUE NOW (On Recognized Gain)</t>
  </si>
  <si>
    <t>Tax owed on gain recognized now</t>
  </si>
  <si>
    <t xml:space="preserve">  TAX SAVINGS COMPARISON (Section 1031 vs. Outright Sale)</t>
  </si>
  <si>
    <t>Recapture Tax if No Exchange</t>
  </si>
  <si>
    <t>Capital Gains Tax if No Exchange</t>
  </si>
  <si>
    <t>NIIT if No Exchange</t>
  </si>
  <si>
    <t>State Tax if No Exchange</t>
  </si>
  <si>
    <t>Total Tax if Fully Taxable (No Exchange)</t>
  </si>
  <si>
    <t xml:space="preserve">  TAX DEFERRED BY SECTION 1031 EXCHANGE</t>
  </si>
  <si>
    <t>Estimated tax liability deferred to future sale</t>
  </si>
  <si>
    <t xml:space="preserve">  SECTION 7 - KEY EXCHANGE DATES &amp; COMPLIANCE</t>
  </si>
  <si>
    <t xml:space="preserve">  SECTION 1031 DEADLINE REQUIREMENTS (Both deadlines must be met)</t>
  </si>
  <si>
    <t>Date of Sale / Close of Relinquished Property</t>
  </si>
  <si>
    <t>Day 0 - Exchange clock starts on this date</t>
  </si>
  <si>
    <t>45-Day Identification Deadline</t>
  </si>
  <si>
    <t>Must identify replacement property in writing by this date</t>
  </si>
  <si>
    <t>180-Day Exchange Deadline</t>
  </si>
  <si>
    <t>Must close on replacement property by this date</t>
  </si>
  <si>
    <t>Days Remaining to Identify (from today)</t>
  </si>
  <si>
    <t>Days Remaining to Close (from today)</t>
  </si>
  <si>
    <t>Tax Return Due Date (if earlier than 180 days)</t>
  </si>
  <si>
    <t>Qualified Intermediary (QI) Name</t>
  </si>
  <si>
    <t>QI Phone / Contact</t>
  </si>
  <si>
    <t>DISCLAIMER: This calculator is for informational purposes only and does not constitute tax or legal advice. Consult a qualified CPA or attorney.</t>
  </si>
  <si>
    <t>1031 EXCHANGE - BASIS ALLOCATION CALCULATOR</t>
  </si>
  <si>
    <t>Land vs. Building Split per Replacement Property  |  Linked from Exchange Calculator sheet</t>
  </si>
  <si>
    <t>Green = Linked from Exchange Calculator   |   Black = Formula   |   Blue = Input</t>
  </si>
  <si>
    <t xml:space="preserve">  SECTION 1 - TOTAL NEW BASIS  (All values linked from Exchange Calculator)</t>
  </si>
  <si>
    <t>Old Adjusted Basis</t>
  </si>
  <si>
    <t>Basis of property sold</t>
  </si>
  <si>
    <t>Zero if fully deferred</t>
  </si>
  <si>
    <t>Add: Additional Outside Cash</t>
  </si>
  <si>
    <t>Cash from personal funds</t>
  </si>
  <si>
    <t>Total closing costs on replacement</t>
  </si>
  <si>
    <t>Positive = more debt taken on = increases basis (Reg. Section 1.1031(d)-1)</t>
  </si>
  <si>
    <t>Negative number reduces basis</t>
  </si>
  <si>
    <t xml:space="preserve">  TOTAL NEW BASIS IN REPLACEMENT PROPERTY</t>
  </si>
  <si>
    <t>Old AB + Gain + Cash In + Closing + Net Debt Change - Boot</t>
  </si>
  <si>
    <t xml:space="preserve">  SECTION 2 - REPLACEMENT PROPERTY DETAILS  (Linked from Exchange Calculator)</t>
  </si>
  <si>
    <t>Purchase Price</t>
  </si>
  <si>
    <t xml:space="preserve">   Land Value</t>
  </si>
  <si>
    <t>Appraised land - non-depreciable under IRS rules</t>
  </si>
  <si>
    <t xml:space="preserve">   Gross Building Value (Price - Land)</t>
  </si>
  <si>
    <t>Property Type</t>
  </si>
  <si>
    <t xml:space="preserve">  SECTION 3 - STEP 1: ALLOCATE NEW BASIS BY PROPERTY  (Pro-Rata by Purchase Price)</t>
  </si>
  <si>
    <t>Total Purchase Price (all properties)</t>
  </si>
  <si>
    <t>Denominator for allocation percentage</t>
  </si>
  <si>
    <t>Allocation Percentage</t>
  </si>
  <si>
    <t>Each property's share of total purchase price</t>
  </si>
  <si>
    <t>Allocated New Basis</t>
  </si>
  <si>
    <t>Total New Basis x Allocation %</t>
  </si>
  <si>
    <t>Check: Sum equals Total New Basis</t>
  </si>
  <si>
    <t xml:space="preserve">  SECTION 4 - STEP 2: LAND vs. BUILDING SPLIT  (Within Each Property)</t>
  </si>
  <si>
    <t>Allocated New Basis (from Step 1)</t>
  </si>
  <si>
    <t xml:space="preserve">   Land % of Purchase Price</t>
  </si>
  <si>
    <t>Land Value / Purchase Price - applied to allocated basis (not raw purchase price)</t>
  </si>
  <si>
    <t xml:space="preserve">   LAND Portion of Allocated Basis (non-depreciable)</t>
  </si>
  <si>
    <t>Do NOT depreciate this amount - land has no depreciation deduction</t>
  </si>
  <si>
    <t xml:space="preserve">  BUILDING (Depreciable) Basis</t>
  </si>
  <si>
    <t>This is your correct Section 1031 depreciable basis for each property</t>
  </si>
  <si>
    <t xml:space="preserve">  ANNUAL DEPRECIATION  (Correct Section 1031 Basis Method)</t>
  </si>
  <si>
    <t>Building Basis / Depreciation Life</t>
  </si>
  <si>
    <t xml:space="preserve">  SECTION 5 - COMPARISON: CORRECT BASIS vs. SIMPLIFIED PURCHASE-PRICE METHOD</t>
  </si>
  <si>
    <t>Annual Depr - Correct Section 1031 Method (this sheet)</t>
  </si>
  <si>
    <t>Uses actual new tax basis - includes effect of net debt change</t>
  </si>
  <si>
    <t>Annual Depr - Simplified Method (purchase price based)</t>
  </si>
  <si>
    <t>Uses purchase price minus land - shown in Exchange Calculator sheet row 34</t>
  </si>
  <si>
    <t xml:space="preserve">  Annual Difference (Correct minus Simplified)</t>
  </si>
  <si>
    <t>Negative = simplified overstates depreciation (typical when large gain is deferred)</t>
  </si>
  <si>
    <t>10-Year Cumulative Difference</t>
  </si>
  <si>
    <t>Total impact on taxable income over 10 years from using wrong basis</t>
  </si>
  <si>
    <t xml:space="preserve">  SECTION 6 - 10-YEAR DEPRECIATION SCHEDULE  (Correct Section 1031 Basis Method)</t>
  </si>
  <si>
    <t>First Year in Service</t>
  </si>
  <si>
    <t>Enter year replacement property placed in service</t>
  </si>
  <si>
    <t>Year</t>
  </si>
  <si>
    <t>Tax Year</t>
  </si>
  <si>
    <t>Total Annual</t>
  </si>
  <si>
    <t>Cumulative</t>
  </si>
  <si>
    <t>10-Year Total</t>
  </si>
  <si>
    <t>IRS NOTE: Rev. Proc. 2004-11 provides an alternative dual-schedule method where the exchanged (carryover) basis continues on the old property's remaining schedule, and only the excess basis starts a new schedule. This calculator uses the simplified single-schedule approach. Consult your CPA.</t>
  </si>
  <si>
    <t>REPLACEMENT PROPERTY DEPRECIATION SCHEDULE</t>
  </si>
  <si>
    <t>Straight-Line  |  Uses Correct Section 1031 Basis from Basis Allocation sheet  |  Linked automatically</t>
  </si>
  <si>
    <t>Green = Linked from other sheets  |  Blue = Input</t>
  </si>
  <si>
    <t xml:space="preserve">  PROPERTY DATA  (Linked from Exchange Calculator and Basis Allocation)</t>
  </si>
  <si>
    <t>All Properties</t>
  </si>
  <si>
    <t>Land Value</t>
  </si>
  <si>
    <t>Allocated New Basis (Section 1031)</t>
  </si>
  <si>
    <t>LAND Portion of Allocated Basis</t>
  </si>
  <si>
    <t>BUILDING (Depreciable) Basis</t>
  </si>
  <si>
    <t>Depreciation Life (Years)</t>
  </si>
  <si>
    <t xml:space="preserve">  Annual Depreciation (Correct Section 1031 Basis)</t>
  </si>
  <si>
    <t xml:space="preserve">  10-YEAR DEPRECIATION SCHEDULE</t>
  </si>
  <si>
    <t>Property</t>
  </si>
  <si>
    <t>Enter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</si>
</sst>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$#,##0_);&quot;($&quot;#,##0\);\-"/>
    <numFmt numFmtId="165" formatCode="0.0"/>
    <numFmt numFmtId="166" formatCode="0.0%_);\(0.0%\);\-"/>
    <numFmt numFmtId="167" formatCode="mm/dd/yyyy"/>
    <numFmt numFmtId="168" formatCode="#,##0_);\(#,##0\);\-"/>
    <numFmt numFmtId="169" formatCode="0000"/>
  </numFmts>
  <fonts count="28" x14ac:knownFonts="1">
    <font>
      <sz val="11"/>
      <color theme="1"/>
      <name val="Calibri"/>
      <family val="2"/>
      <charset val="1"/>
    </font>
    <font>
      <b/>
      <sz val="16"/>
      <color rgb="FFFFFFFF"/>
      <name val="Arial"/>
      <charset val="1"/>
    </font>
    <font>
      <sz val="11"/>
      <color rgb="FF4472C4"/>
      <name val="Arial"/>
      <charset val="1"/>
    </font>
    <font>
      <i/>
      <sz val="9"/>
      <color rgb="FF595959"/>
      <name val="Arial"/>
      <charset val="1"/>
    </font>
    <font>
      <b/>
      <sz val="11"/>
      <color rgb="FFFFFFFF"/>
      <name val="Arial"/>
      <charset val="1"/>
    </font>
    <font>
      <b/>
      <sz val="10"/>
      <color rgb="FFFFFFFF"/>
      <name val="Arial"/>
      <charset val="1"/>
    </font>
    <font>
      <sz val="10"/>
      <color rgb="FF000000"/>
      <name val="Arial"/>
      <charset val="1"/>
    </font>
    <font>
      <sz val="10"/>
      <color rgb="FF0000FF"/>
      <name val="Arial"/>
      <charset val="1"/>
    </font>
    <font>
      <b/>
      <sz val="11"/>
      <color rgb="FF000000"/>
      <name val="Arial"/>
      <charset val="1"/>
    </font>
    <font>
      <b/>
      <sz val="10"/>
      <color rgb="FF000000"/>
      <name val="Arial"/>
      <charset val="1"/>
    </font>
    <font>
      <i/>
      <sz val="9"/>
      <color rgb="FFBDD7EE"/>
      <name val="Arial"/>
      <charset val="1"/>
    </font>
    <font>
      <i/>
      <sz val="10"/>
      <color rgb="FF595959"/>
      <name val="Arial"/>
      <charset val="1"/>
    </font>
    <font>
      <b/>
      <sz val="10"/>
      <color rgb="FF1F3864"/>
      <name val="Arial"/>
      <charset val="1"/>
    </font>
    <font>
      <b/>
      <sz val="11"/>
      <color rgb="FF806000"/>
      <name val="Arial"/>
      <charset val="1"/>
    </font>
    <font>
      <b/>
      <sz val="10"/>
      <color rgb="FF806000"/>
      <name val="Arial"/>
      <charset val="1"/>
    </font>
    <font>
      <i/>
      <sz val="9"/>
      <color rgb="FF806000"/>
      <name val="Arial"/>
      <charset val="1"/>
    </font>
    <font>
      <b/>
      <sz val="11"/>
      <color rgb="FF375623"/>
      <name val="Arial"/>
      <charset val="1"/>
    </font>
    <font>
      <i/>
      <sz val="9"/>
      <color rgb="FF375623"/>
      <name val="Arial"/>
      <charset val="1"/>
    </font>
    <font>
      <i/>
      <sz val="9"/>
      <color rgb="FF2E75B6"/>
      <name val="Arial"/>
      <charset val="1"/>
    </font>
    <font>
      <b/>
      <sz val="11"/>
      <color rgb="FFC00000"/>
      <name val="Arial"/>
      <charset val="1"/>
    </font>
    <font>
      <b/>
      <sz val="10"/>
      <color rgb="FFC00000"/>
      <name val="Arial"/>
      <charset val="1"/>
    </font>
    <font>
      <i/>
      <sz val="9"/>
      <color rgb="FFC00000"/>
      <name val="Arial"/>
      <charset val="1"/>
    </font>
    <font>
      <b/>
      <sz val="10"/>
      <color rgb="FF375623"/>
      <name val="Arial"/>
      <charset val="1"/>
    </font>
    <font>
      <i/>
      <sz val="8"/>
      <color rgb="FF595959"/>
      <name val="Arial"/>
      <charset val="1"/>
    </font>
    <font>
      <sz val="10"/>
      <color rgb="FF008000"/>
      <name val="Arial"/>
      <charset val="1"/>
    </font>
    <font>
      <b/>
      <sz val="10"/>
      <color rgb="FF008000"/>
      <name val="Arial"/>
      <charset val="1"/>
    </font>
    <font>
      <b/>
      <sz val="14"/>
      <color rgb="FFFFFFFF"/>
      <name val="Arial"/>
      <charset val="1"/>
    </font>
    <font>
      <sz val="10"/>
      <color rgb="FF4472C4"/>
      <name val="Arial"/>
      <charset val="1"/>
    </font>
  </fonts>
  <fills count="12">
    <fill>
      <patternFill patternType="none"/>
    </fill>
    <fill>
      <patternFill patternType="gray125"/>
    </fill>
    <fill>
      <patternFill patternType="solid">
        <fgColor rgb="FF1F3864"/>
        <bgColor rgb="FF333399"/>
      </patternFill>
    </fill>
    <fill>
      <patternFill patternType="solid">
        <fgColor rgb="FFD9E1F2"/>
        <bgColor rgb="FFE2EFDA"/>
      </patternFill>
    </fill>
    <fill>
      <patternFill patternType="solid">
        <fgColor rgb="FF2E75B6"/>
        <bgColor rgb="FF4472C4"/>
      </patternFill>
    </fill>
    <fill>
      <patternFill patternType="solid">
        <fgColor rgb="FF4472C4"/>
        <bgColor rgb="FF2E75B6"/>
      </patternFill>
    </fill>
    <fill>
      <patternFill patternType="solid">
        <fgColor rgb="FFF2F7FC"/>
        <bgColor rgb="FFEBF3FB"/>
      </patternFill>
    </fill>
    <fill>
      <patternFill patternType="solid">
        <fgColor rgb="FFEBF3FB"/>
        <bgColor rgb="FFF2F7FC"/>
      </patternFill>
    </fill>
    <fill>
      <patternFill patternType="solid">
        <fgColor rgb="FFFFF2CC"/>
        <bgColor rgb="FFFCE4D6"/>
      </patternFill>
    </fill>
    <fill>
      <patternFill patternType="solid">
        <fgColor rgb="FFE2EFDA"/>
        <bgColor rgb="FFEBF3FB"/>
      </patternFill>
    </fill>
    <fill>
      <patternFill patternType="solid">
        <fgColor rgb="FFFCE4D6"/>
        <bgColor rgb="FFFFF2CC"/>
      </patternFill>
    </fill>
    <fill>
      <patternFill patternType="solid">
        <fgColor rgb="FFFFFFFF"/>
        <bgColor rgb="FFF2F7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49" fontId="7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5" borderId="0" xfId="0" applyFont="1" applyFill="1" applyAlignment="1">
      <alignment horizontal="left" vertical="center" indent="1"/>
    </xf>
    <xf numFmtId="0" fontId="5" fillId="5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164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 indent="2"/>
    </xf>
    <xf numFmtId="0" fontId="8" fillId="6" borderId="0" xfId="0" applyFont="1" applyFill="1" applyAlignment="1">
      <alignment horizontal="left" vertical="center" indent="1"/>
    </xf>
    <xf numFmtId="164" fontId="9" fillId="6" borderId="0" xfId="0" applyNumberFormat="1" applyFont="1" applyFill="1" applyAlignment="1">
      <alignment horizontal="right" vertical="center"/>
    </xf>
    <xf numFmtId="0" fontId="0" fillId="6" borderId="0" xfId="0" applyFill="1"/>
    <xf numFmtId="0" fontId="3" fillId="6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4" fontId="5" fillId="2" borderId="0" xfId="0" applyNumberFormat="1" applyFont="1" applyFill="1" applyAlignment="1">
      <alignment horizontal="right" vertical="center"/>
    </xf>
    <xf numFmtId="0" fontId="0" fillId="2" borderId="0" xfId="0" applyFill="1"/>
    <xf numFmtId="0" fontId="10" fillId="2" borderId="0" xfId="0" applyFont="1" applyFill="1" applyAlignment="1">
      <alignment horizontal="left" vertical="center"/>
    </xf>
    <xf numFmtId="164" fontId="9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1" fillId="6" borderId="0" xfId="0" applyFont="1" applyFill="1" applyAlignment="1">
      <alignment horizontal="left" vertical="center" indent="2"/>
    </xf>
    <xf numFmtId="164" fontId="6" fillId="6" borderId="0" xfId="0" applyNumberFormat="1" applyFont="1" applyFill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49" fontId="9" fillId="6" borderId="0" xfId="0" applyNumberFormat="1" applyFont="1" applyFill="1" applyAlignment="1">
      <alignment horizontal="center" vertical="center"/>
    </xf>
    <xf numFmtId="164" fontId="7" fillId="8" borderId="0" xfId="0" applyNumberFormat="1" applyFont="1" applyFill="1" applyAlignment="1">
      <alignment horizontal="right" vertical="center"/>
    </xf>
    <xf numFmtId="0" fontId="6" fillId="6" borderId="0" xfId="0" applyFont="1" applyFill="1" applyAlignment="1">
      <alignment horizontal="left" vertical="center" indent="2"/>
    </xf>
    <xf numFmtId="0" fontId="13" fillId="8" borderId="0" xfId="0" applyFont="1" applyFill="1" applyAlignment="1">
      <alignment horizontal="left" vertical="center"/>
    </xf>
    <xf numFmtId="164" fontId="14" fillId="8" borderId="0" xfId="0" applyNumberFormat="1" applyFont="1" applyFill="1" applyAlignment="1">
      <alignment horizontal="right" vertical="center"/>
    </xf>
    <xf numFmtId="0" fontId="0" fillId="8" borderId="0" xfId="0" applyFill="1"/>
    <xf numFmtId="0" fontId="15" fillId="8" borderId="0" xfId="0" applyFont="1" applyFill="1" applyAlignment="1">
      <alignment horizontal="left" vertical="center"/>
    </xf>
    <xf numFmtId="0" fontId="16" fillId="9" borderId="0" xfId="0" applyFont="1" applyFill="1" applyAlignment="1">
      <alignment horizontal="left" vertical="center"/>
    </xf>
    <xf numFmtId="164" fontId="16" fillId="9" borderId="0" xfId="0" applyNumberFormat="1" applyFont="1" applyFill="1" applyAlignment="1">
      <alignment horizontal="right" vertical="center"/>
    </xf>
    <xf numFmtId="0" fontId="0" fillId="9" borderId="0" xfId="0" applyFill="1"/>
    <xf numFmtId="0" fontId="17" fillId="9" borderId="0" xfId="0" applyFont="1" applyFill="1" applyAlignment="1">
      <alignment horizontal="left" vertical="center"/>
    </xf>
    <xf numFmtId="0" fontId="8" fillId="6" borderId="0" xfId="0" applyFont="1" applyFill="1" applyAlignment="1">
      <alignment horizontal="left" vertical="center"/>
    </xf>
    <xf numFmtId="166" fontId="7" fillId="8" borderId="0" xfId="0" applyNumberFormat="1" applyFont="1" applyFill="1" applyAlignment="1">
      <alignment horizontal="right" vertical="center"/>
    </xf>
    <xf numFmtId="49" fontId="7" fillId="8" borderId="0" xfId="0" applyNumberFormat="1" applyFont="1" applyFill="1" applyAlignment="1">
      <alignment horizontal="center" vertical="center"/>
    </xf>
    <xf numFmtId="0" fontId="19" fillId="10" borderId="0" xfId="0" applyFont="1" applyFill="1" applyAlignment="1">
      <alignment horizontal="left" vertical="center"/>
    </xf>
    <xf numFmtId="164" fontId="20" fillId="10" borderId="0" xfId="0" applyNumberFormat="1" applyFont="1" applyFill="1" applyAlignment="1">
      <alignment horizontal="right" vertical="center"/>
    </xf>
    <xf numFmtId="0" fontId="0" fillId="10" borderId="0" xfId="0" applyFill="1"/>
    <xf numFmtId="0" fontId="21" fillId="10" borderId="0" xfId="0" applyFont="1" applyFill="1" applyAlignment="1">
      <alignment horizontal="left" vertical="center"/>
    </xf>
    <xf numFmtId="164" fontId="22" fillId="9" borderId="0" xfId="0" applyNumberFormat="1" applyFont="1" applyFill="1" applyAlignment="1">
      <alignment horizontal="right" vertical="center"/>
    </xf>
    <xf numFmtId="167" fontId="7" fillId="8" borderId="0" xfId="0" applyNumberFormat="1" applyFont="1" applyFill="1" applyAlignment="1">
      <alignment horizontal="center" vertical="center"/>
    </xf>
    <xf numFmtId="167" fontId="6" fillId="0" borderId="0" xfId="0" applyNumberFormat="1" applyFont="1" applyAlignment="1">
      <alignment horizontal="center" vertical="center"/>
    </xf>
    <xf numFmtId="168" fontId="9" fillId="6" borderId="0" xfId="0" applyNumberFormat="1" applyFont="1" applyFill="1" applyAlignment="1">
      <alignment horizontal="right" vertical="center"/>
    </xf>
    <xf numFmtId="164" fontId="24" fillId="0" borderId="0" xfId="0" applyNumberFormat="1" applyFont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/>
    </xf>
    <xf numFmtId="49" fontId="24" fillId="0" borderId="0" xfId="0" applyNumberFormat="1" applyFont="1" applyAlignment="1">
      <alignment horizontal="left" vertical="center"/>
    </xf>
    <xf numFmtId="164" fontId="25" fillId="0" borderId="0" xfId="0" applyNumberFormat="1" applyFont="1" applyAlignment="1">
      <alignment horizontal="right" vertical="center"/>
    </xf>
    <xf numFmtId="164" fontId="24" fillId="6" borderId="0" xfId="0" applyNumberFormat="1" applyFont="1" applyFill="1" applyAlignment="1">
      <alignment horizontal="right" vertical="center"/>
    </xf>
    <xf numFmtId="49" fontId="24" fillId="0" borderId="0" xfId="0" applyNumberFormat="1" applyFont="1" applyAlignment="1">
      <alignment horizontal="center" vertical="center"/>
    </xf>
    <xf numFmtId="165" fontId="24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right" vertical="center"/>
    </xf>
    <xf numFmtId="164" fontId="25" fillId="6" borderId="0" xfId="0" applyNumberFormat="1" applyFont="1" applyFill="1" applyAlignment="1">
      <alignment horizontal="right" vertical="center"/>
    </xf>
    <xf numFmtId="0" fontId="6" fillId="6" borderId="0" xfId="0" applyFont="1" applyFill="1" applyAlignment="1">
      <alignment horizontal="left" vertical="center" indent="1"/>
    </xf>
    <xf numFmtId="164" fontId="13" fillId="8" borderId="0" xfId="0" applyNumberFormat="1" applyFont="1" applyFill="1" applyAlignment="1">
      <alignment horizontal="right" vertical="center"/>
    </xf>
    <xf numFmtId="169" fontId="7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69" fontId="6" fillId="0" borderId="0" xfId="0" applyNumberFormat="1" applyFont="1" applyAlignment="1">
      <alignment horizontal="center" vertical="center"/>
    </xf>
    <xf numFmtId="3" fontId="6" fillId="6" borderId="0" xfId="0" applyNumberFormat="1" applyFont="1" applyFill="1" applyAlignment="1">
      <alignment horizontal="center" vertical="center"/>
    </xf>
    <xf numFmtId="169" fontId="6" fillId="6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11" borderId="0" xfId="0" applyFont="1" applyFill="1" applyAlignment="1">
      <alignment horizontal="left" vertical="center" indent="1"/>
    </xf>
    <xf numFmtId="0" fontId="16" fillId="9" borderId="0" xfId="0" applyFont="1" applyFill="1" applyAlignment="1">
      <alignment horizontal="left" vertical="center" indent="1"/>
    </xf>
    <xf numFmtId="164" fontId="24" fillId="9" borderId="0" xfId="0" applyNumberFormat="1" applyFont="1" applyFill="1" applyAlignment="1">
      <alignment horizontal="right" vertical="center"/>
    </xf>
    <xf numFmtId="164" fontId="9" fillId="9" borderId="0" xfId="0" applyNumberFormat="1" applyFont="1" applyFill="1" applyAlignment="1">
      <alignment horizontal="right" vertical="center"/>
    </xf>
    <xf numFmtId="49" fontId="24" fillId="6" borderId="0" xfId="0" applyNumberFormat="1" applyFont="1" applyFill="1" applyAlignment="1">
      <alignment horizontal="center" vertical="center"/>
    </xf>
    <xf numFmtId="165" fontId="24" fillId="6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12" fillId="7" borderId="0" xfId="0" applyFont="1" applyFill="1" applyAlignment="1">
      <alignment horizontal="left" vertical="center"/>
    </xf>
    <xf numFmtId="0" fontId="18" fillId="6" borderId="0" xfId="0" applyFont="1" applyFill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15" fillId="8" borderId="0" xfId="0" applyFont="1" applyFill="1" applyAlignment="1">
      <alignment horizontal="left" vertical="center" wrapText="1"/>
    </xf>
    <xf numFmtId="49" fontId="22" fillId="0" borderId="0" xfId="0" applyNumberFormat="1" applyFont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6000"/>
      <rgbColor rgb="FF800080"/>
      <rgbColor rgb="FF008080"/>
      <rgbColor rgb="FFD9E1F2"/>
      <rgbColor rgb="FF808080"/>
      <rgbColor rgb="FF9999FF"/>
      <rgbColor rgb="FF993366"/>
      <rgbColor rgb="FFFFF2CC"/>
      <rgbColor rgb="FFEBF3FB"/>
      <rgbColor rgb="FF660066"/>
      <rgbColor rgb="FFFF8080"/>
      <rgbColor rgb="FF2E75B6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7FC"/>
      <rgbColor rgb="FFE2EFDA"/>
      <rgbColor rgb="FFFFFF99"/>
      <rgbColor rgb="FF99CCFF"/>
      <rgbColor rgb="FFFF99CC"/>
      <rgbColor rgb="FFCC99FF"/>
      <rgbColor rgb="FFFCE4D6"/>
      <rgbColor rgb="FF4472C4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7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2"/>
  <sheetViews>
    <sheetView tabSelected="1" zoomScaleNormal="100" workbookViewId="0">
      <pane ySplit="4" topLeftCell="A24" activePane="bottomLeft" state="frozen"/>
      <selection pane="bottomLeft" activeCell="C26" sqref="C26"/>
    </sheetView>
  </sheetViews>
  <sheetFormatPr defaultColWidth="8.6640625" defaultRowHeight="14.4" x14ac:dyDescent="0.3"/>
  <cols>
    <col min="1" max="1" width="43" customWidth="1"/>
    <col min="2" max="2" width="27.5546875" bestFit="1" customWidth="1"/>
    <col min="3" max="5" width="17" customWidth="1"/>
    <col min="6" max="6" width="25" customWidth="1"/>
  </cols>
  <sheetData>
    <row r="1" spans="1:6" ht="36" customHeight="1" x14ac:dyDescent="0.3">
      <c r="A1" s="67" t="s">
        <v>0</v>
      </c>
      <c r="B1" s="67"/>
      <c r="C1" s="67"/>
      <c r="D1" s="67"/>
      <c r="E1" s="67"/>
      <c r="F1" s="67"/>
    </row>
    <row r="2" spans="1:6" ht="19.5" customHeight="1" x14ac:dyDescent="0.3">
      <c r="A2" s="68" t="s">
        <v>1</v>
      </c>
      <c r="B2" s="68"/>
      <c r="C2" s="68"/>
      <c r="D2" s="68"/>
      <c r="E2" s="68"/>
      <c r="F2" s="68"/>
    </row>
    <row r="3" spans="1:6" ht="13.5" customHeight="1" x14ac:dyDescent="0.3">
      <c r="A3" s="69" t="s">
        <v>2</v>
      </c>
      <c r="B3" s="69"/>
      <c r="C3" s="69"/>
      <c r="D3" s="69"/>
      <c r="E3" s="69"/>
      <c r="F3" s="69"/>
    </row>
    <row r="4" spans="1:6" ht="6" customHeight="1" x14ac:dyDescent="0.3"/>
    <row r="5" spans="1:6" ht="21.75" customHeight="1" x14ac:dyDescent="0.3">
      <c r="A5" s="70" t="s">
        <v>3</v>
      </c>
      <c r="B5" s="70"/>
      <c r="C5" s="70"/>
      <c r="D5" s="70"/>
      <c r="E5" s="70"/>
      <c r="F5" s="70"/>
    </row>
    <row r="6" spans="1:6" ht="18" customHeight="1" x14ac:dyDescent="0.3">
      <c r="A6" s="3" t="s">
        <v>4</v>
      </c>
      <c r="B6" s="4" t="s">
        <v>5</v>
      </c>
      <c r="C6" s="4"/>
      <c r="D6" s="4"/>
      <c r="E6" s="4"/>
      <c r="F6" s="4" t="s">
        <v>6</v>
      </c>
    </row>
    <row r="7" spans="1:6" x14ac:dyDescent="0.3">
      <c r="A7" s="5" t="s">
        <v>7</v>
      </c>
      <c r="B7" s="71" t="s">
        <v>209</v>
      </c>
      <c r="C7" s="71"/>
      <c r="D7" s="71"/>
      <c r="E7" s="71"/>
    </row>
    <row r="8" spans="1:6" x14ac:dyDescent="0.3">
      <c r="A8" s="5" t="s">
        <v>8</v>
      </c>
      <c r="B8" s="6">
        <f>69540+4439</f>
        <v>73979</v>
      </c>
      <c r="F8" s="2" t="s">
        <v>9</v>
      </c>
    </row>
    <row r="9" spans="1:6" x14ac:dyDescent="0.3">
      <c r="A9" s="7" t="s">
        <v>10</v>
      </c>
      <c r="B9" s="6">
        <v>4200</v>
      </c>
      <c r="F9" s="2" t="s">
        <v>11</v>
      </c>
    </row>
    <row r="10" spans="1:6" x14ac:dyDescent="0.3">
      <c r="A10" s="7" t="s">
        <v>12</v>
      </c>
      <c r="B10" s="6">
        <v>4439</v>
      </c>
      <c r="F10" s="2" t="s">
        <v>13</v>
      </c>
    </row>
    <row r="11" spans="1:6" x14ac:dyDescent="0.3">
      <c r="A11" s="8" t="s">
        <v>14</v>
      </c>
      <c r="B11" s="9">
        <f>B8+B9</f>
        <v>78179</v>
      </c>
      <c r="C11" s="10"/>
      <c r="D11" s="10"/>
      <c r="E11" s="10"/>
      <c r="F11" s="11" t="s">
        <v>15</v>
      </c>
    </row>
    <row r="12" spans="1:6" x14ac:dyDescent="0.3">
      <c r="A12" s="5" t="s">
        <v>16</v>
      </c>
      <c r="B12" s="6">
        <v>8817</v>
      </c>
      <c r="F12" s="2" t="s">
        <v>17</v>
      </c>
    </row>
    <row r="13" spans="1:6" x14ac:dyDescent="0.3">
      <c r="A13" s="8" t="s">
        <v>18</v>
      </c>
      <c r="B13" s="9">
        <f>B11-B12</f>
        <v>69362</v>
      </c>
      <c r="C13" s="10"/>
      <c r="D13" s="10"/>
      <c r="E13" s="10"/>
      <c r="F13" s="11" t="s">
        <v>19</v>
      </c>
    </row>
    <row r="14" spans="1:6" ht="6" customHeight="1" x14ac:dyDescent="0.3"/>
    <row r="15" spans="1:6" x14ac:dyDescent="0.3">
      <c r="A15" s="5" t="s">
        <v>20</v>
      </c>
      <c r="B15" s="6">
        <v>134000</v>
      </c>
    </row>
    <row r="16" spans="1:6" x14ac:dyDescent="0.3">
      <c r="A16" s="7" t="s">
        <v>21</v>
      </c>
      <c r="B16" s="6">
        <f>13219.7+3886-1333.38-134.64-163.68</f>
        <v>15474</v>
      </c>
      <c r="F16" s="2" t="s">
        <v>22</v>
      </c>
    </row>
    <row r="17" spans="1:6" x14ac:dyDescent="0.3">
      <c r="A17" s="8" t="s">
        <v>23</v>
      </c>
      <c r="B17" s="9">
        <f>B15-B16</f>
        <v>118526</v>
      </c>
      <c r="C17" s="10"/>
      <c r="D17" s="10"/>
      <c r="E17" s="10"/>
      <c r="F17" s="11" t="s">
        <v>24</v>
      </c>
    </row>
    <row r="18" spans="1:6" x14ac:dyDescent="0.3">
      <c r="A18" s="5" t="s">
        <v>25</v>
      </c>
      <c r="B18" s="6">
        <v>52669.11</v>
      </c>
      <c r="F18" s="2" t="s">
        <v>26</v>
      </c>
    </row>
    <row r="19" spans="1:6" x14ac:dyDescent="0.3">
      <c r="A19" s="8" t="s">
        <v>27</v>
      </c>
      <c r="B19" s="9">
        <f>B17-B18</f>
        <v>65856.89</v>
      </c>
      <c r="C19" s="10"/>
      <c r="D19" s="10"/>
      <c r="E19" s="10"/>
      <c r="F19" s="11" t="s">
        <v>28</v>
      </c>
    </row>
    <row r="20" spans="1:6" ht="3.75" customHeight="1" x14ac:dyDescent="0.3"/>
    <row r="21" spans="1:6" ht="21.75" customHeight="1" x14ac:dyDescent="0.3">
      <c r="A21" s="12" t="s">
        <v>29</v>
      </c>
      <c r="B21" s="13">
        <f>B17-B13</f>
        <v>49164</v>
      </c>
      <c r="C21" s="14"/>
      <c r="D21" s="14"/>
      <c r="E21" s="14"/>
      <c r="F21" s="15" t="s">
        <v>30</v>
      </c>
    </row>
    <row r="22" spans="1:6" ht="7.5" customHeight="1" x14ac:dyDescent="0.3"/>
    <row r="23" spans="1:6" ht="21.75" customHeight="1" x14ac:dyDescent="0.3">
      <c r="A23" s="70" t="s">
        <v>31</v>
      </c>
      <c r="B23" s="70"/>
      <c r="C23" s="70"/>
      <c r="D23" s="70"/>
      <c r="E23" s="70"/>
      <c r="F23" s="70"/>
    </row>
    <row r="24" spans="1:6" ht="18" customHeight="1" x14ac:dyDescent="0.3">
      <c r="A24" s="3" t="s">
        <v>4</v>
      </c>
      <c r="B24" s="4" t="s">
        <v>32</v>
      </c>
      <c r="C24" s="4" t="s">
        <v>33</v>
      </c>
      <c r="D24" s="4" t="s">
        <v>34</v>
      </c>
      <c r="E24" s="4" t="s">
        <v>35</v>
      </c>
      <c r="F24" s="4" t="s">
        <v>6</v>
      </c>
    </row>
    <row r="25" spans="1:6" x14ac:dyDescent="0.3">
      <c r="A25" s="5" t="s">
        <v>7</v>
      </c>
      <c r="C25" s="1" t="s">
        <v>210</v>
      </c>
      <c r="D25" s="1" t="s">
        <v>210</v>
      </c>
      <c r="E25" s="1" t="s">
        <v>210</v>
      </c>
    </row>
    <row r="26" spans="1:6" x14ac:dyDescent="0.3">
      <c r="A26" s="5" t="s">
        <v>36</v>
      </c>
      <c r="B26" s="16">
        <f>SUM(C26:E26)</f>
        <v>219500</v>
      </c>
      <c r="C26" s="6">
        <v>107500</v>
      </c>
      <c r="D26" s="6">
        <v>112000</v>
      </c>
      <c r="E26" s="6">
        <v>0</v>
      </c>
    </row>
    <row r="27" spans="1:6" x14ac:dyDescent="0.3">
      <c r="A27" s="5" t="s">
        <v>37</v>
      </c>
      <c r="B27" s="16">
        <f>SUM(C27:E27)</f>
        <v>153434.14000000001</v>
      </c>
      <c r="C27" s="6">
        <v>72861.710000000006</v>
      </c>
      <c r="D27" s="6">
        <v>80572.429999999993</v>
      </c>
      <c r="E27" s="6">
        <v>0</v>
      </c>
      <c r="F27" s="2" t="s">
        <v>38</v>
      </c>
    </row>
    <row r="28" spans="1:6" x14ac:dyDescent="0.3">
      <c r="A28" s="5" t="s">
        <v>39</v>
      </c>
      <c r="B28" s="16">
        <f>SUM(C28:E28)</f>
        <v>9972.4599999999991</v>
      </c>
      <c r="C28" s="6">
        <v>4847.79</v>
      </c>
      <c r="D28" s="6">
        <v>5124.67</v>
      </c>
      <c r="E28" s="6">
        <v>0</v>
      </c>
    </row>
    <row r="29" spans="1:6" x14ac:dyDescent="0.3">
      <c r="A29" s="7" t="s">
        <v>40</v>
      </c>
      <c r="B29" s="16">
        <f>SUM(C29:E29)</f>
        <v>13170</v>
      </c>
      <c r="C29" s="6">
        <f>C26*0.06</f>
        <v>6450</v>
      </c>
      <c r="D29" s="6">
        <f>D26*0.06</f>
        <v>6720</v>
      </c>
      <c r="E29" s="6">
        <v>0</v>
      </c>
      <c r="F29" s="2" t="s">
        <v>41</v>
      </c>
    </row>
    <row r="30" spans="1:6" x14ac:dyDescent="0.3">
      <c r="A30" s="7" t="s">
        <v>42</v>
      </c>
      <c r="C30" s="17" t="s">
        <v>43</v>
      </c>
      <c r="D30" s="17" t="s">
        <v>43</v>
      </c>
      <c r="E30" s="17" t="s">
        <v>43</v>
      </c>
      <c r="F30" s="2" t="s">
        <v>44</v>
      </c>
    </row>
    <row r="31" spans="1:6" x14ac:dyDescent="0.3">
      <c r="A31" s="8" t="s">
        <v>45</v>
      </c>
      <c r="B31" s="9">
        <f>SUM(C31:E31)</f>
        <v>229472.46</v>
      </c>
      <c r="C31" s="9">
        <f>C26+C28</f>
        <v>112347.79</v>
      </c>
      <c r="D31" s="9">
        <f>D26+D28</f>
        <v>117124.67</v>
      </c>
      <c r="E31" s="9">
        <f>E26+E28</f>
        <v>0</v>
      </c>
      <c r="F31" s="10"/>
    </row>
    <row r="32" spans="1:6" x14ac:dyDescent="0.3">
      <c r="A32" s="8" t="s">
        <v>46</v>
      </c>
      <c r="B32" s="9">
        <f>SUM(C32:E32)</f>
        <v>66065.86</v>
      </c>
      <c r="C32" s="9">
        <f>C26-C27</f>
        <v>34638.289999999994</v>
      </c>
      <c r="D32" s="9">
        <f>D26-D27</f>
        <v>31427.570000000007</v>
      </c>
      <c r="E32" s="9">
        <f>E26-E27</f>
        <v>0</v>
      </c>
      <c r="F32" s="10"/>
    </row>
    <row r="33" spans="1:6" x14ac:dyDescent="0.3">
      <c r="A33" s="7" t="s">
        <v>47</v>
      </c>
      <c r="C33" s="18">
        <f>IF(C26=0,0,IF(C30="Commercial",39,27.5))</f>
        <v>27.5</v>
      </c>
      <c r="D33" s="18">
        <f>IF(D26=0,0,IF(D30="Commercial",39,27.5))</f>
        <v>27.5</v>
      </c>
      <c r="E33" s="18">
        <f>IF(E26=0,0,IF(E30="Commercial",39,27.5))</f>
        <v>0</v>
      </c>
    </row>
    <row r="34" spans="1:6" x14ac:dyDescent="0.3">
      <c r="A34" s="19" t="s">
        <v>48</v>
      </c>
      <c r="B34" s="9">
        <f>SUM(C34:E34)</f>
        <v>7502.909090909091</v>
      </c>
      <c r="C34" s="20">
        <f>IF(C26=0,0,(C26-C29)/C33)</f>
        <v>3674.5454545454545</v>
      </c>
      <c r="D34" s="20">
        <f>IF(D26=0,0,(D26-D29)/D33)</f>
        <v>3828.3636363636365</v>
      </c>
      <c r="E34" s="20">
        <f>IF(E26=0,0,(E26-E29)/E33)</f>
        <v>0</v>
      </c>
      <c r="F34" s="11" t="s">
        <v>49</v>
      </c>
    </row>
    <row r="35" spans="1:6" ht="7.5" customHeight="1" x14ac:dyDescent="0.3"/>
    <row r="36" spans="1:6" ht="21.75" customHeight="1" x14ac:dyDescent="0.3">
      <c r="A36" s="70" t="s">
        <v>50</v>
      </c>
      <c r="B36" s="70"/>
      <c r="C36" s="70"/>
      <c r="D36" s="70"/>
      <c r="E36" s="70"/>
      <c r="F36" s="70"/>
    </row>
    <row r="37" spans="1:6" ht="18" customHeight="1" x14ac:dyDescent="0.3">
      <c r="A37" s="72" t="s">
        <v>51</v>
      </c>
      <c r="B37" s="72"/>
      <c r="C37" s="72"/>
      <c r="D37" s="72"/>
      <c r="E37" s="72"/>
      <c r="F37" s="72"/>
    </row>
    <row r="38" spans="1:6" x14ac:dyDescent="0.3">
      <c r="A38" s="5" t="s">
        <v>52</v>
      </c>
      <c r="B38" s="21">
        <f>B17</f>
        <v>118526</v>
      </c>
      <c r="F38" s="2" t="s">
        <v>53</v>
      </c>
    </row>
    <row r="39" spans="1:6" x14ac:dyDescent="0.3">
      <c r="A39" s="5" t="s">
        <v>54</v>
      </c>
      <c r="B39" s="21">
        <f>B26</f>
        <v>219500</v>
      </c>
      <c r="F39" s="2" t="s">
        <v>55</v>
      </c>
    </row>
    <row r="40" spans="1:6" x14ac:dyDescent="0.3">
      <c r="A40" s="8" t="s">
        <v>56</v>
      </c>
      <c r="B40" s="22" t="str">
        <f>IF(B39&gt;=B38,"CHECK - REQUIREMENT MET","X - NOT MET - Boot Triggered")</f>
        <v>CHECK - REQUIREMENT MET</v>
      </c>
      <c r="C40" s="10"/>
      <c r="D40" s="10"/>
      <c r="E40" s="10"/>
      <c r="F40" s="10"/>
    </row>
    <row r="41" spans="1:6" ht="6" customHeight="1" x14ac:dyDescent="0.3"/>
    <row r="42" spans="1:6" ht="18" customHeight="1" x14ac:dyDescent="0.3">
      <c r="A42" s="72" t="s">
        <v>57</v>
      </c>
      <c r="B42" s="72"/>
      <c r="C42" s="72"/>
      <c r="D42" s="72"/>
      <c r="E42" s="72"/>
      <c r="F42" s="72"/>
    </row>
    <row r="43" spans="1:6" x14ac:dyDescent="0.3">
      <c r="A43" s="5" t="s">
        <v>58</v>
      </c>
      <c r="B43" s="21">
        <f>B18</f>
        <v>52669.11</v>
      </c>
    </row>
    <row r="44" spans="1:6" x14ac:dyDescent="0.3">
      <c r="A44" s="5" t="s">
        <v>59</v>
      </c>
      <c r="B44" s="21">
        <f>B27</f>
        <v>153434.14000000001</v>
      </c>
    </row>
    <row r="45" spans="1:6" x14ac:dyDescent="0.3">
      <c r="A45" s="5" t="s">
        <v>60</v>
      </c>
      <c r="B45" s="21">
        <f>MAX(0,B43-B44)</f>
        <v>0</v>
      </c>
      <c r="F45" s="2" t="s">
        <v>61</v>
      </c>
    </row>
    <row r="46" spans="1:6" x14ac:dyDescent="0.3">
      <c r="A46" s="5" t="s">
        <v>62</v>
      </c>
      <c r="B46" s="23">
        <f>3000+1976.19+5000+2185.27</f>
        <v>12161.460000000001</v>
      </c>
      <c r="F46" s="2" t="s">
        <v>63</v>
      </c>
    </row>
    <row r="47" spans="1:6" x14ac:dyDescent="0.3">
      <c r="A47" s="8" t="s">
        <v>64</v>
      </c>
      <c r="B47" s="22" t="str">
        <f>IF(B44+B46&gt;=B43,"CHECK - REQUIREMENT MET","X - NOT MET - Mortgage Boot Applies")</f>
        <v>CHECK - REQUIREMENT MET</v>
      </c>
      <c r="C47" s="10"/>
      <c r="D47" s="10"/>
      <c r="E47" s="10"/>
      <c r="F47" s="10"/>
    </row>
    <row r="48" spans="1:6" ht="6" customHeight="1" x14ac:dyDescent="0.3"/>
    <row r="49" spans="1:6" ht="18" customHeight="1" x14ac:dyDescent="0.3">
      <c r="A49" s="72" t="s">
        <v>65</v>
      </c>
      <c r="B49" s="72"/>
      <c r="C49" s="72"/>
      <c r="D49" s="72"/>
      <c r="E49" s="72"/>
      <c r="F49" s="72"/>
    </row>
    <row r="50" spans="1:6" x14ac:dyDescent="0.3">
      <c r="A50" s="5" t="s">
        <v>66</v>
      </c>
      <c r="B50" s="21">
        <f>MAX(0,B18-B27)</f>
        <v>0</v>
      </c>
      <c r="F50" s="2" t="s">
        <v>67</v>
      </c>
    </row>
    <row r="51" spans="1:6" x14ac:dyDescent="0.3">
      <c r="A51" s="5" t="s">
        <v>68</v>
      </c>
      <c r="B51" s="6">
        <v>0</v>
      </c>
      <c r="F51" s="2" t="s">
        <v>69</v>
      </c>
    </row>
    <row r="52" spans="1:6" x14ac:dyDescent="0.3">
      <c r="A52" s="5" t="s">
        <v>70</v>
      </c>
      <c r="B52" s="6">
        <v>0</v>
      </c>
    </row>
    <row r="53" spans="1:6" x14ac:dyDescent="0.3">
      <c r="A53" s="24" t="s">
        <v>71</v>
      </c>
      <c r="B53" s="20">
        <f>B50+B51+B52</f>
        <v>0</v>
      </c>
      <c r="C53" s="10"/>
      <c r="D53" s="10"/>
      <c r="E53" s="10"/>
      <c r="F53" s="10"/>
    </row>
    <row r="54" spans="1:6" x14ac:dyDescent="0.3">
      <c r="A54" s="7" t="s">
        <v>72</v>
      </c>
      <c r="B54" s="21">
        <f>B46</f>
        <v>12161.460000000001</v>
      </c>
      <c r="F54" s="2" t="s">
        <v>73</v>
      </c>
    </row>
    <row r="55" spans="1:6" ht="21.75" customHeight="1" x14ac:dyDescent="0.3">
      <c r="A55" s="25" t="s">
        <v>74</v>
      </c>
      <c r="B55" s="26">
        <f>MAX(0,B53-B54)</f>
        <v>0</v>
      </c>
      <c r="C55" s="27"/>
      <c r="D55" s="27"/>
      <c r="E55" s="27"/>
      <c r="F55" s="28" t="s">
        <v>75</v>
      </c>
    </row>
    <row r="56" spans="1:6" ht="7.5" customHeight="1" x14ac:dyDescent="0.3"/>
    <row r="57" spans="1:6" ht="21.75" customHeight="1" x14ac:dyDescent="0.3">
      <c r="A57" s="70" t="s">
        <v>76</v>
      </c>
      <c r="B57" s="70"/>
      <c r="C57" s="70"/>
      <c r="D57" s="70"/>
      <c r="E57" s="70"/>
      <c r="F57" s="70"/>
    </row>
    <row r="58" spans="1:6" x14ac:dyDescent="0.3">
      <c r="A58" s="5" t="s">
        <v>77</v>
      </c>
      <c r="B58" s="21">
        <f>B21</f>
        <v>49164</v>
      </c>
    </row>
    <row r="59" spans="1:6" x14ac:dyDescent="0.3">
      <c r="A59" s="5" t="s">
        <v>78</v>
      </c>
      <c r="B59" s="21">
        <f>B55</f>
        <v>0</v>
      </c>
    </row>
    <row r="60" spans="1:6" x14ac:dyDescent="0.3">
      <c r="A60" s="8" t="s">
        <v>79</v>
      </c>
      <c r="B60" s="9">
        <f>MIN(B58,B59)</f>
        <v>0</v>
      </c>
      <c r="C60" s="10"/>
      <c r="D60" s="10"/>
      <c r="E60" s="10"/>
      <c r="F60" s="11" t="s">
        <v>80</v>
      </c>
    </row>
    <row r="61" spans="1:6" ht="21.75" customHeight="1" x14ac:dyDescent="0.3">
      <c r="A61" s="29" t="s">
        <v>81</v>
      </c>
      <c r="B61" s="30">
        <f>B58-B60</f>
        <v>49164</v>
      </c>
      <c r="C61" s="31"/>
      <c r="D61" s="31"/>
      <c r="E61" s="31"/>
      <c r="F61" s="32" t="s">
        <v>82</v>
      </c>
    </row>
    <row r="62" spans="1:6" ht="7.5" customHeight="1" x14ac:dyDescent="0.3"/>
    <row r="63" spans="1:6" ht="21.75" customHeight="1" x14ac:dyDescent="0.3">
      <c r="A63" s="70" t="s">
        <v>83</v>
      </c>
      <c r="B63" s="70"/>
      <c r="C63" s="70"/>
      <c r="D63" s="70"/>
      <c r="E63" s="70"/>
      <c r="F63" s="70"/>
    </row>
    <row r="64" spans="1:6" x14ac:dyDescent="0.3">
      <c r="A64" s="5" t="s">
        <v>84</v>
      </c>
      <c r="B64" s="21">
        <f>B13</f>
        <v>69362</v>
      </c>
    </row>
    <row r="65" spans="1:6" x14ac:dyDescent="0.3">
      <c r="A65" s="5" t="s">
        <v>85</v>
      </c>
      <c r="B65" s="21">
        <f>B60</f>
        <v>0</v>
      </c>
    </row>
    <row r="66" spans="1:6" x14ac:dyDescent="0.3">
      <c r="A66" s="5" t="s">
        <v>86</v>
      </c>
      <c r="B66" s="21">
        <f>B46</f>
        <v>12161.460000000001</v>
      </c>
    </row>
    <row r="67" spans="1:6" x14ac:dyDescent="0.3">
      <c r="A67" s="5" t="s">
        <v>87</v>
      </c>
      <c r="B67" s="21">
        <f>B28</f>
        <v>9972.4599999999991</v>
      </c>
    </row>
    <row r="68" spans="1:6" x14ac:dyDescent="0.3">
      <c r="A68" s="5" t="s">
        <v>88</v>
      </c>
      <c r="B68" s="21">
        <f>B27-B18</f>
        <v>100765.03000000001</v>
      </c>
      <c r="F68" s="2" t="s">
        <v>89</v>
      </c>
    </row>
    <row r="69" spans="1:6" x14ac:dyDescent="0.3">
      <c r="A69" s="5" t="s">
        <v>90</v>
      </c>
      <c r="B69" s="21">
        <f>-(B51+B52)</f>
        <v>0</v>
      </c>
    </row>
    <row r="70" spans="1:6" ht="21.75" customHeight="1" x14ac:dyDescent="0.3">
      <c r="A70" s="33" t="s">
        <v>91</v>
      </c>
      <c r="B70" s="9">
        <f>B64+B65+B66+B67+B68+B69</f>
        <v>192260.95</v>
      </c>
      <c r="C70" s="73" t="s">
        <v>92</v>
      </c>
      <c r="D70" s="73"/>
      <c r="E70" s="73"/>
      <c r="F70" s="11" t="s">
        <v>93</v>
      </c>
    </row>
    <row r="71" spans="1:6" ht="7.5" customHeight="1" x14ac:dyDescent="0.3"/>
    <row r="72" spans="1:6" ht="21.75" customHeight="1" x14ac:dyDescent="0.3">
      <c r="A72" s="70" t="s">
        <v>94</v>
      </c>
      <c r="B72" s="70"/>
      <c r="C72" s="70"/>
      <c r="D72" s="70"/>
      <c r="E72" s="70"/>
      <c r="F72" s="70"/>
    </row>
    <row r="73" spans="1:6" ht="18" customHeight="1" x14ac:dyDescent="0.3">
      <c r="A73" s="72" t="s">
        <v>95</v>
      </c>
      <c r="B73" s="72"/>
      <c r="C73" s="72"/>
      <c r="D73" s="72"/>
      <c r="E73" s="72"/>
      <c r="F73" s="72"/>
    </row>
    <row r="74" spans="1:6" x14ac:dyDescent="0.3">
      <c r="A74" s="5" t="s">
        <v>96</v>
      </c>
      <c r="B74" s="34">
        <v>0.2</v>
      </c>
      <c r="F74" s="2" t="s">
        <v>97</v>
      </c>
    </row>
    <row r="75" spans="1:6" x14ac:dyDescent="0.3">
      <c r="A75" s="5" t="s">
        <v>98</v>
      </c>
      <c r="B75" s="34">
        <v>0.25</v>
      </c>
      <c r="F75" s="2" t="s">
        <v>99</v>
      </c>
    </row>
    <row r="76" spans="1:6" x14ac:dyDescent="0.3">
      <c r="A76" s="5" t="s">
        <v>100</v>
      </c>
      <c r="B76" s="34">
        <v>3.7999999999999999E-2</v>
      </c>
      <c r="F76" s="2" t="s">
        <v>101</v>
      </c>
    </row>
    <row r="77" spans="1:6" x14ac:dyDescent="0.3">
      <c r="A77" s="5" t="s">
        <v>102</v>
      </c>
      <c r="B77" s="34">
        <v>0.05</v>
      </c>
      <c r="F77" s="2" t="s">
        <v>103</v>
      </c>
    </row>
    <row r="78" spans="1:6" x14ac:dyDescent="0.3">
      <c r="A78" s="5" t="s">
        <v>104</v>
      </c>
      <c r="B78" s="35" t="s">
        <v>105</v>
      </c>
      <c r="F78" s="2" t="s">
        <v>106</v>
      </c>
    </row>
    <row r="79" spans="1:6" ht="6" customHeight="1" x14ac:dyDescent="0.3"/>
    <row r="80" spans="1:6" ht="18" customHeight="1" x14ac:dyDescent="0.3">
      <c r="A80" s="72" t="s">
        <v>107</v>
      </c>
      <c r="B80" s="72"/>
      <c r="C80" s="72"/>
      <c r="D80" s="72"/>
      <c r="E80" s="72"/>
      <c r="F80" s="72"/>
    </row>
    <row r="81" spans="1:6" x14ac:dyDescent="0.3">
      <c r="A81" s="5" t="s">
        <v>108</v>
      </c>
      <c r="B81" s="21">
        <f>B60</f>
        <v>0</v>
      </c>
    </row>
    <row r="82" spans="1:6" x14ac:dyDescent="0.3">
      <c r="A82" s="5" t="s">
        <v>109</v>
      </c>
      <c r="B82" s="21">
        <f>MIN(B12,B60)</f>
        <v>0</v>
      </c>
      <c r="F82" s="2" t="s">
        <v>110</v>
      </c>
    </row>
    <row r="83" spans="1:6" x14ac:dyDescent="0.3">
      <c r="A83" s="5" t="s">
        <v>111</v>
      </c>
      <c r="B83" s="21">
        <f>MAX(0,B60-B82)</f>
        <v>0</v>
      </c>
      <c r="F83" s="2" t="s">
        <v>112</v>
      </c>
    </row>
    <row r="84" spans="1:6" ht="3.75" customHeight="1" x14ac:dyDescent="0.3"/>
    <row r="85" spans="1:6" x14ac:dyDescent="0.3">
      <c r="A85" s="5" t="s">
        <v>113</v>
      </c>
      <c r="B85" s="21">
        <f>B82*B75</f>
        <v>0</v>
      </c>
    </row>
    <row r="86" spans="1:6" x14ac:dyDescent="0.3">
      <c r="A86" s="5" t="s">
        <v>114</v>
      </c>
      <c r="B86" s="21">
        <f>B83*B74</f>
        <v>0</v>
      </c>
    </row>
    <row r="87" spans="1:6" x14ac:dyDescent="0.3">
      <c r="A87" s="5" t="s">
        <v>115</v>
      </c>
      <c r="B87" s="21">
        <f>IF(UPPER(B78)="YES",B60*B76,0)</f>
        <v>0</v>
      </c>
    </row>
    <row r="88" spans="1:6" x14ac:dyDescent="0.3">
      <c r="A88" s="5" t="s">
        <v>116</v>
      </c>
      <c r="B88" s="21">
        <f>B60*B77</f>
        <v>0</v>
      </c>
    </row>
    <row r="89" spans="1:6" ht="21.75" customHeight="1" x14ac:dyDescent="0.3">
      <c r="A89" s="36" t="s">
        <v>117</v>
      </c>
      <c r="B89" s="37">
        <f>B85+B86+B87+B88</f>
        <v>0</v>
      </c>
      <c r="C89" s="38"/>
      <c r="D89" s="38"/>
      <c r="E89" s="38"/>
      <c r="F89" s="39" t="s">
        <v>118</v>
      </c>
    </row>
    <row r="90" spans="1:6" ht="7.5" customHeight="1" x14ac:dyDescent="0.3"/>
    <row r="91" spans="1:6" ht="18" customHeight="1" x14ac:dyDescent="0.3">
      <c r="A91" s="72" t="s">
        <v>119</v>
      </c>
      <c r="B91" s="72"/>
      <c r="C91" s="72"/>
      <c r="D91" s="72"/>
      <c r="E91" s="72"/>
      <c r="F91" s="72"/>
    </row>
    <row r="92" spans="1:6" x14ac:dyDescent="0.3">
      <c r="A92" s="5" t="s">
        <v>120</v>
      </c>
      <c r="B92" s="21">
        <f>MIN(B12,B21)*B75</f>
        <v>2204.25</v>
      </c>
    </row>
    <row r="93" spans="1:6" x14ac:dyDescent="0.3">
      <c r="A93" s="5" t="s">
        <v>121</v>
      </c>
      <c r="B93" s="21">
        <f>MAX(0,B21-B12)*B74</f>
        <v>8069.4000000000005</v>
      </c>
    </row>
    <row r="94" spans="1:6" x14ac:dyDescent="0.3">
      <c r="A94" s="5" t="s">
        <v>122</v>
      </c>
      <c r="B94" s="21">
        <f>IF(UPPER(B78)="YES",B21*B76,0)</f>
        <v>1868.232</v>
      </c>
    </row>
    <row r="95" spans="1:6" x14ac:dyDescent="0.3">
      <c r="A95" s="5" t="s">
        <v>123</v>
      </c>
      <c r="B95" s="21">
        <f>B21*B77</f>
        <v>2458.2000000000003</v>
      </c>
    </row>
    <row r="96" spans="1:6" x14ac:dyDescent="0.3">
      <c r="A96" s="8" t="s">
        <v>124</v>
      </c>
      <c r="B96" s="9">
        <f>B92+B93+B94+B95</f>
        <v>14600.082000000002</v>
      </c>
      <c r="C96" s="10"/>
      <c r="D96" s="10"/>
      <c r="E96" s="10"/>
      <c r="F96" s="10"/>
    </row>
    <row r="97" spans="1:6" ht="21.75" customHeight="1" x14ac:dyDescent="0.3">
      <c r="A97" s="29" t="s">
        <v>125</v>
      </c>
      <c r="B97" s="40">
        <f>B96-B89</f>
        <v>14600.082000000002</v>
      </c>
      <c r="C97" s="31"/>
      <c r="D97" s="31"/>
      <c r="E97" s="31"/>
      <c r="F97" s="32" t="s">
        <v>126</v>
      </c>
    </row>
    <row r="98" spans="1:6" ht="7.5" customHeight="1" x14ac:dyDescent="0.3"/>
    <row r="99" spans="1:6" ht="21.75" customHeight="1" x14ac:dyDescent="0.3">
      <c r="A99" s="70" t="s">
        <v>127</v>
      </c>
      <c r="B99" s="70"/>
      <c r="C99" s="70"/>
      <c r="D99" s="70"/>
      <c r="E99" s="70"/>
      <c r="F99" s="70"/>
    </row>
    <row r="100" spans="1:6" ht="18" customHeight="1" x14ac:dyDescent="0.3">
      <c r="A100" s="72" t="s">
        <v>128</v>
      </c>
      <c r="B100" s="72"/>
      <c r="C100" s="72"/>
      <c r="D100" s="72"/>
      <c r="E100" s="72"/>
      <c r="F100" s="72"/>
    </row>
    <row r="101" spans="1:6" x14ac:dyDescent="0.3">
      <c r="A101" s="5" t="s">
        <v>129</v>
      </c>
      <c r="B101" s="41"/>
      <c r="F101" s="2" t="s">
        <v>130</v>
      </c>
    </row>
    <row r="102" spans="1:6" x14ac:dyDescent="0.3">
      <c r="A102" s="5" t="s">
        <v>131</v>
      </c>
      <c r="B102" s="42" t="str">
        <f>IF(ISNUMBER(B101),B101+45,"")</f>
        <v/>
      </c>
      <c r="F102" s="2" t="s">
        <v>132</v>
      </c>
    </row>
    <row r="103" spans="1:6" x14ac:dyDescent="0.3">
      <c r="A103" s="5" t="s">
        <v>133</v>
      </c>
      <c r="B103" s="42" t="str">
        <f>IF(ISNUMBER(B101),B101+180,"")</f>
        <v/>
      </c>
      <c r="F103" s="2" t="s">
        <v>134</v>
      </c>
    </row>
    <row r="104" spans="1:6" x14ac:dyDescent="0.3">
      <c r="A104" s="8" t="s">
        <v>135</v>
      </c>
      <c r="B104" s="43" t="str">
        <f ca="1">IF(ISNUMBER(B101),MAX(0,B102-TODAY()),"")</f>
        <v/>
      </c>
      <c r="C104" s="10"/>
      <c r="D104" s="10"/>
      <c r="E104" s="10"/>
      <c r="F104" s="10"/>
    </row>
    <row r="105" spans="1:6" x14ac:dyDescent="0.3">
      <c r="A105" s="8" t="s">
        <v>136</v>
      </c>
      <c r="B105" s="43" t="str">
        <f ca="1">IF(ISNUMBER(B101),MAX(0,B103-TODAY()),"")</f>
        <v/>
      </c>
      <c r="C105" s="10"/>
      <c r="D105" s="10"/>
      <c r="E105" s="10"/>
      <c r="F105" s="10"/>
    </row>
    <row r="106" spans="1:6" ht="3.75" customHeight="1" x14ac:dyDescent="0.3"/>
    <row r="107" spans="1:6" x14ac:dyDescent="0.3">
      <c r="A107" s="5" t="s">
        <v>137</v>
      </c>
      <c r="B107" s="41"/>
    </row>
    <row r="108" spans="1:6" x14ac:dyDescent="0.3">
      <c r="A108" s="5" t="s">
        <v>138</v>
      </c>
      <c r="B108" s="71"/>
      <c r="C108" s="71"/>
      <c r="D108" s="71"/>
      <c r="E108" s="71"/>
    </row>
    <row r="109" spans="1:6" x14ac:dyDescent="0.3">
      <c r="A109" s="5" t="s">
        <v>139</v>
      </c>
      <c r="B109" s="71"/>
      <c r="C109" s="71"/>
      <c r="D109" s="71"/>
      <c r="E109" s="71"/>
    </row>
    <row r="110" spans="1:6" x14ac:dyDescent="0.3">
      <c r="A110" s="5" t="s">
        <v>6</v>
      </c>
      <c r="B110" s="71"/>
      <c r="C110" s="71"/>
      <c r="D110" s="71"/>
      <c r="E110" s="71"/>
      <c r="F110" s="71"/>
    </row>
    <row r="111" spans="1:6" ht="6" customHeight="1" x14ac:dyDescent="0.3"/>
    <row r="112" spans="1:6" ht="27.75" customHeight="1" x14ac:dyDescent="0.3">
      <c r="A112" s="74" t="s">
        <v>140</v>
      </c>
      <c r="B112" s="74"/>
      <c r="C112" s="74"/>
      <c r="D112" s="74"/>
      <c r="E112" s="74"/>
      <c r="F112" s="74"/>
    </row>
  </sheetData>
  <mergeCells count="23">
    <mergeCell ref="B109:E109"/>
    <mergeCell ref="B110:F110"/>
    <mergeCell ref="A112:F112"/>
    <mergeCell ref="A80:F80"/>
    <mergeCell ref="A91:F91"/>
    <mergeCell ref="A99:F99"/>
    <mergeCell ref="A100:F100"/>
    <mergeCell ref="B108:E108"/>
    <mergeCell ref="A57:F57"/>
    <mergeCell ref="A63:F63"/>
    <mergeCell ref="C70:E70"/>
    <mergeCell ref="A72:F72"/>
    <mergeCell ref="A73:F73"/>
    <mergeCell ref="A23:F23"/>
    <mergeCell ref="A36:F36"/>
    <mergeCell ref="A37:F37"/>
    <mergeCell ref="A42:F42"/>
    <mergeCell ref="A49:F49"/>
    <mergeCell ref="A1:F1"/>
    <mergeCell ref="A2:F2"/>
    <mergeCell ref="A3:F3"/>
    <mergeCell ref="A5:F5"/>
    <mergeCell ref="B7:E7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2"/>
  <sheetViews>
    <sheetView zoomScaleNormal="100" workbookViewId="0">
      <pane ySplit="4" topLeftCell="A5" activePane="bottomLeft" state="frozen"/>
      <selection pane="bottomLeft" activeCell="M48" sqref="M48"/>
    </sheetView>
  </sheetViews>
  <sheetFormatPr defaultColWidth="8.6640625" defaultRowHeight="14.4" x14ac:dyDescent="0.3"/>
  <cols>
    <col min="1" max="1" width="44" customWidth="1"/>
    <col min="2" max="2" width="16" customWidth="1"/>
    <col min="3" max="5" width="17" customWidth="1"/>
    <col min="6" max="6" width="26" customWidth="1"/>
    <col min="7" max="7" width="3" customWidth="1"/>
    <col min="8" max="8" width="17" customWidth="1"/>
  </cols>
  <sheetData>
    <row r="1" spans="1:6" ht="36" customHeight="1" x14ac:dyDescent="0.3">
      <c r="A1" s="67" t="s">
        <v>141</v>
      </c>
      <c r="B1" s="67"/>
      <c r="C1" s="67"/>
      <c r="D1" s="67"/>
      <c r="E1" s="67"/>
      <c r="F1" s="67"/>
    </row>
    <row r="2" spans="1:6" ht="19.5" customHeight="1" x14ac:dyDescent="0.3">
      <c r="A2" s="68" t="s">
        <v>142</v>
      </c>
      <c r="B2" s="68"/>
      <c r="C2" s="68"/>
      <c r="D2" s="68"/>
      <c r="E2" s="68"/>
      <c r="F2" s="68"/>
    </row>
    <row r="3" spans="1:6" ht="13.5" customHeight="1" x14ac:dyDescent="0.3">
      <c r="A3" s="69" t="s">
        <v>143</v>
      </c>
      <c r="B3" s="69"/>
      <c r="C3" s="69"/>
      <c r="D3" s="69"/>
      <c r="E3" s="69"/>
      <c r="F3" s="69"/>
    </row>
    <row r="4" spans="1:6" ht="6" customHeight="1" x14ac:dyDescent="0.3"/>
    <row r="5" spans="1:6" ht="21.75" customHeight="1" x14ac:dyDescent="0.3">
      <c r="A5" s="70" t="s">
        <v>144</v>
      </c>
      <c r="B5" s="70"/>
      <c r="C5" s="70"/>
      <c r="D5" s="70"/>
      <c r="E5" s="70"/>
      <c r="F5" s="70"/>
    </row>
    <row r="6" spans="1:6" ht="18" customHeight="1" x14ac:dyDescent="0.3">
      <c r="A6" s="3" t="s">
        <v>4</v>
      </c>
      <c r="B6" s="4" t="s">
        <v>5</v>
      </c>
      <c r="C6" s="4"/>
      <c r="D6" s="4"/>
      <c r="E6" s="4"/>
      <c r="F6" s="4" t="s">
        <v>6</v>
      </c>
    </row>
    <row r="7" spans="1:6" x14ac:dyDescent="0.3">
      <c r="A7" s="5" t="s">
        <v>145</v>
      </c>
      <c r="B7" s="44">
        <f>'Exchange Calculator'!B13</f>
        <v>69362</v>
      </c>
      <c r="F7" s="2" t="s">
        <v>146</v>
      </c>
    </row>
    <row r="8" spans="1:6" x14ac:dyDescent="0.3">
      <c r="A8" s="5" t="s">
        <v>85</v>
      </c>
      <c r="B8" s="44">
        <f>'Exchange Calculator'!B60</f>
        <v>0</v>
      </c>
      <c r="F8" s="2" t="s">
        <v>147</v>
      </c>
    </row>
    <row r="9" spans="1:6" x14ac:dyDescent="0.3">
      <c r="A9" s="5" t="s">
        <v>148</v>
      </c>
      <c r="B9" s="44">
        <f>'Exchange Calculator'!B46</f>
        <v>12161.460000000001</v>
      </c>
      <c r="F9" s="2" t="s">
        <v>149</v>
      </c>
    </row>
    <row r="10" spans="1:6" x14ac:dyDescent="0.3">
      <c r="A10" s="5" t="s">
        <v>87</v>
      </c>
      <c r="B10" s="44">
        <f>'Exchange Calculator'!B28</f>
        <v>9972.4599999999991</v>
      </c>
      <c r="F10" s="2" t="s">
        <v>150</v>
      </c>
    </row>
    <row r="11" spans="1:6" x14ac:dyDescent="0.3">
      <c r="A11" s="5" t="s">
        <v>88</v>
      </c>
      <c r="B11" s="44">
        <f>'Exchange Calculator'!B68</f>
        <v>100765.03000000001</v>
      </c>
      <c r="F11" s="2" t="s">
        <v>151</v>
      </c>
    </row>
    <row r="12" spans="1:6" x14ac:dyDescent="0.3">
      <c r="A12" s="5" t="s">
        <v>90</v>
      </c>
      <c r="B12" s="44">
        <f>'Exchange Calculator'!B69</f>
        <v>0</v>
      </c>
      <c r="F12" s="2" t="s">
        <v>152</v>
      </c>
    </row>
    <row r="13" spans="1:6" ht="21.75" customHeight="1" x14ac:dyDescent="0.3">
      <c r="A13" s="12" t="s">
        <v>153</v>
      </c>
      <c r="B13" s="45">
        <f>'Exchange Calculator'!B70</f>
        <v>192260.95</v>
      </c>
      <c r="C13" s="14"/>
      <c r="D13" s="14"/>
      <c r="E13" s="14"/>
      <c r="F13" s="15" t="s">
        <v>154</v>
      </c>
    </row>
    <row r="14" spans="1:6" ht="7.5" customHeight="1" x14ac:dyDescent="0.3"/>
    <row r="15" spans="1:6" ht="21.75" customHeight="1" x14ac:dyDescent="0.3">
      <c r="A15" s="70" t="s">
        <v>155</v>
      </c>
      <c r="B15" s="70"/>
      <c r="C15" s="70"/>
      <c r="D15" s="70"/>
      <c r="E15" s="70"/>
      <c r="F15" s="70"/>
    </row>
    <row r="16" spans="1:6" ht="18" customHeight="1" x14ac:dyDescent="0.3">
      <c r="A16" s="3" t="s">
        <v>4</v>
      </c>
      <c r="B16" s="4" t="s">
        <v>32</v>
      </c>
      <c r="C16" s="4" t="s">
        <v>33</v>
      </c>
      <c r="D16" s="4" t="s">
        <v>34</v>
      </c>
      <c r="E16" s="4" t="s">
        <v>35</v>
      </c>
      <c r="F16" s="4" t="s">
        <v>6</v>
      </c>
    </row>
    <row r="17" spans="1:6" x14ac:dyDescent="0.3">
      <c r="A17" s="5" t="s">
        <v>7</v>
      </c>
      <c r="C17" s="46" t="str">
        <f>'Exchange Calculator'!C25</f>
        <v>Enter Address</v>
      </c>
      <c r="D17" s="46" t="str">
        <f>'Exchange Calculator'!D25</f>
        <v>Enter Address</v>
      </c>
      <c r="E17" s="46" t="str">
        <f>'Exchange Calculator'!E25</f>
        <v>Enter Address</v>
      </c>
    </row>
    <row r="18" spans="1:6" x14ac:dyDescent="0.3">
      <c r="A18" s="5" t="s">
        <v>156</v>
      </c>
      <c r="B18" s="47">
        <f>'Exchange Calculator'!B26</f>
        <v>219500</v>
      </c>
      <c r="C18" s="44">
        <f>'Exchange Calculator'!C26</f>
        <v>107500</v>
      </c>
      <c r="D18" s="44">
        <f>'Exchange Calculator'!D26</f>
        <v>112000</v>
      </c>
      <c r="E18" s="44">
        <f>'Exchange Calculator'!E26</f>
        <v>0</v>
      </c>
    </row>
    <row r="19" spans="1:6" x14ac:dyDescent="0.3">
      <c r="A19" s="7" t="s">
        <v>157</v>
      </c>
      <c r="B19" s="47">
        <f>'Exchange Calculator'!B29</f>
        <v>13170</v>
      </c>
      <c r="C19" s="44">
        <f>'Exchange Calculator'!C29</f>
        <v>6450</v>
      </c>
      <c r="D19" s="44">
        <f>'Exchange Calculator'!D29</f>
        <v>6720</v>
      </c>
      <c r="E19" s="44">
        <f>'Exchange Calculator'!E29</f>
        <v>0</v>
      </c>
      <c r="F19" s="2" t="s">
        <v>158</v>
      </c>
    </row>
    <row r="20" spans="1:6" x14ac:dyDescent="0.3">
      <c r="A20" s="24" t="s">
        <v>159</v>
      </c>
      <c r="B20" s="9">
        <f>SUM(C20:E20)</f>
        <v>206330</v>
      </c>
      <c r="C20" s="48">
        <f>'Exchange Calculator'!C26-'Exchange Calculator'!C29</f>
        <v>101050</v>
      </c>
      <c r="D20" s="48">
        <f>'Exchange Calculator'!D26-'Exchange Calculator'!D29</f>
        <v>105280</v>
      </c>
      <c r="E20" s="48">
        <f>'Exchange Calculator'!E26-'Exchange Calculator'!E29</f>
        <v>0</v>
      </c>
      <c r="F20" s="10"/>
    </row>
    <row r="21" spans="1:6" x14ac:dyDescent="0.3">
      <c r="A21" s="5" t="s">
        <v>160</v>
      </c>
      <c r="C21" s="49" t="str">
        <f>'Exchange Calculator'!C30</f>
        <v>Residential</v>
      </c>
      <c r="D21" s="49" t="str">
        <f>'Exchange Calculator'!D30</f>
        <v>Residential</v>
      </c>
      <c r="E21" s="49" t="str">
        <f>'Exchange Calculator'!E30</f>
        <v>Residential</v>
      </c>
      <c r="F21" s="2" t="s">
        <v>44</v>
      </c>
    </row>
    <row r="22" spans="1:6" x14ac:dyDescent="0.3">
      <c r="A22" s="7" t="s">
        <v>47</v>
      </c>
      <c r="C22" s="50">
        <f>'Exchange Calculator'!C33</f>
        <v>27.5</v>
      </c>
      <c r="D22" s="50">
        <f>'Exchange Calculator'!D33</f>
        <v>27.5</v>
      </c>
      <c r="E22" s="50">
        <f>'Exchange Calculator'!E33</f>
        <v>0</v>
      </c>
    </row>
    <row r="23" spans="1:6" ht="7.5" customHeight="1" x14ac:dyDescent="0.3"/>
    <row r="24" spans="1:6" ht="21.75" customHeight="1" x14ac:dyDescent="0.3">
      <c r="A24" s="70" t="s">
        <v>161</v>
      </c>
      <c r="B24" s="70"/>
      <c r="C24" s="70"/>
      <c r="D24" s="70"/>
      <c r="E24" s="70"/>
      <c r="F24" s="70"/>
    </row>
    <row r="25" spans="1:6" ht="18" customHeight="1" x14ac:dyDescent="0.3">
      <c r="A25" s="3" t="s">
        <v>4</v>
      </c>
      <c r="B25" s="4" t="s">
        <v>32</v>
      </c>
      <c r="C25" s="4" t="s">
        <v>33</v>
      </c>
      <c r="D25" s="4" t="s">
        <v>34</v>
      </c>
      <c r="E25" s="4" t="s">
        <v>35</v>
      </c>
      <c r="F25" s="4" t="s">
        <v>6</v>
      </c>
    </row>
    <row r="26" spans="1:6" x14ac:dyDescent="0.3">
      <c r="A26" s="5" t="s">
        <v>162</v>
      </c>
      <c r="B26" s="44">
        <f>'Exchange Calculator'!B26</f>
        <v>219500</v>
      </c>
      <c r="F26" s="2" t="s">
        <v>163</v>
      </c>
    </row>
    <row r="27" spans="1:6" x14ac:dyDescent="0.3">
      <c r="A27" s="5" t="s">
        <v>164</v>
      </c>
      <c r="C27" s="51">
        <f>IFERROR(C18/B18,0)</f>
        <v>0.48974943052391801</v>
      </c>
      <c r="D27" s="51">
        <f>IFERROR(D18/B18,0)</f>
        <v>0.51025056947608205</v>
      </c>
      <c r="E27" s="51">
        <f>IFERROR(E18/B18,0)</f>
        <v>0</v>
      </c>
      <c r="F27" s="2" t="s">
        <v>165</v>
      </c>
    </row>
    <row r="28" spans="1:6" x14ac:dyDescent="0.3">
      <c r="A28" s="8" t="s">
        <v>166</v>
      </c>
      <c r="B28" s="52">
        <f>B13</f>
        <v>192260.95</v>
      </c>
      <c r="C28" s="20">
        <f>IFERROR($B$13*C27,0)</f>
        <v>94159.690774487477</v>
      </c>
      <c r="D28" s="20">
        <f>IFERROR($B$13*D27,0)</f>
        <v>98101.259225512549</v>
      </c>
      <c r="E28" s="20">
        <f>IFERROR($B$13*E27,0)</f>
        <v>0</v>
      </c>
      <c r="F28" s="11" t="s">
        <v>167</v>
      </c>
    </row>
    <row r="29" spans="1:6" x14ac:dyDescent="0.3">
      <c r="A29" s="5" t="s">
        <v>168</v>
      </c>
      <c r="B29" s="21">
        <f>SUM(C28:E28)</f>
        <v>192260.95</v>
      </c>
      <c r="C29" s="76" t="str">
        <f>IF(ABS(SUM(C28:E28)-B13)&lt;1,"OK - allocations balance","CHECK: gap detected")</f>
        <v>OK - allocations balance</v>
      </c>
      <c r="D29" s="76"/>
      <c r="E29" s="76"/>
    </row>
    <row r="30" spans="1:6" ht="7.5" customHeight="1" x14ac:dyDescent="0.3"/>
    <row r="31" spans="1:6" ht="21.75" customHeight="1" x14ac:dyDescent="0.3">
      <c r="A31" s="70" t="s">
        <v>169</v>
      </c>
      <c r="B31" s="70"/>
      <c r="C31" s="70"/>
      <c r="D31" s="70"/>
      <c r="E31" s="70"/>
      <c r="F31" s="70"/>
    </row>
    <row r="32" spans="1:6" ht="18" customHeight="1" x14ac:dyDescent="0.3">
      <c r="A32" s="3" t="s">
        <v>4</v>
      </c>
      <c r="B32" s="4" t="s">
        <v>32</v>
      </c>
      <c r="C32" s="4" t="s">
        <v>33</v>
      </c>
      <c r="D32" s="4" t="s">
        <v>34</v>
      </c>
      <c r="E32" s="4" t="s">
        <v>35</v>
      </c>
      <c r="F32" s="4" t="s">
        <v>6</v>
      </c>
    </row>
    <row r="33" spans="1:6" x14ac:dyDescent="0.3">
      <c r="A33" s="53" t="s">
        <v>170</v>
      </c>
      <c r="B33" s="9">
        <f>B28</f>
        <v>192260.95</v>
      </c>
      <c r="C33" s="20">
        <f>C28</f>
        <v>94159.690774487477</v>
      </c>
      <c r="D33" s="20">
        <f>D28</f>
        <v>98101.259225512549</v>
      </c>
      <c r="E33" s="20">
        <f>E28</f>
        <v>0</v>
      </c>
      <c r="F33" s="10"/>
    </row>
    <row r="34" spans="1:6" x14ac:dyDescent="0.3">
      <c r="A34" s="7" t="s">
        <v>171</v>
      </c>
      <c r="C34" s="51">
        <f>IFERROR(C19/C18,0)</f>
        <v>0.06</v>
      </c>
      <c r="D34" s="51">
        <f>IFERROR(D19/D18,0)</f>
        <v>0.06</v>
      </c>
      <c r="E34" s="51">
        <f>IFERROR(E19/E18,0)</f>
        <v>0</v>
      </c>
      <c r="F34" s="2" t="s">
        <v>172</v>
      </c>
    </row>
    <row r="35" spans="1:6" x14ac:dyDescent="0.3">
      <c r="A35" s="7" t="s">
        <v>173</v>
      </c>
      <c r="B35" s="21">
        <f>SUM(C35:E35)</f>
        <v>11535.657000000001</v>
      </c>
      <c r="C35" s="21">
        <f>IFERROR(C33*C34,0)</f>
        <v>5649.5814464692485</v>
      </c>
      <c r="D35" s="21">
        <f>IFERROR(D33*D34,0)</f>
        <v>5886.0755535307526</v>
      </c>
      <c r="E35" s="21">
        <f>IFERROR(E33*E34,0)</f>
        <v>0</v>
      </c>
      <c r="F35" s="2" t="s">
        <v>174</v>
      </c>
    </row>
    <row r="36" spans="1:6" ht="21.75" customHeight="1" x14ac:dyDescent="0.3">
      <c r="A36" s="29" t="s">
        <v>175</v>
      </c>
      <c r="B36" s="30">
        <f>SUM(C36:E36)</f>
        <v>180725.29300000001</v>
      </c>
      <c r="C36" s="30">
        <f>IFERROR(C33-C35,0)</f>
        <v>88510.109328018225</v>
      </c>
      <c r="D36" s="30">
        <f>IFERROR(D33-D35,0)</f>
        <v>92215.183671981795</v>
      </c>
      <c r="E36" s="30">
        <f>IFERROR(E33-E35,0)</f>
        <v>0</v>
      </c>
      <c r="F36" s="32" t="s">
        <v>176</v>
      </c>
    </row>
    <row r="37" spans="1:6" x14ac:dyDescent="0.3">
      <c r="A37" s="7" t="s">
        <v>47</v>
      </c>
      <c r="C37" s="50">
        <f>C22</f>
        <v>27.5</v>
      </c>
      <c r="D37" s="50">
        <f>D22</f>
        <v>27.5</v>
      </c>
      <c r="E37" s="50">
        <f>E22</f>
        <v>0</v>
      </c>
    </row>
    <row r="38" spans="1:6" ht="21.75" customHeight="1" x14ac:dyDescent="0.3">
      <c r="A38" s="12" t="s">
        <v>177</v>
      </c>
      <c r="B38" s="45">
        <f>SUM(C38:E38)</f>
        <v>6571.8288363636366</v>
      </c>
      <c r="C38" s="45">
        <f>IFERROR(C36/C37,0)</f>
        <v>3218.5494301097538</v>
      </c>
      <c r="D38" s="45">
        <f>IFERROR(D36/D37,0)</f>
        <v>3353.2794062538833</v>
      </c>
      <c r="E38" s="45">
        <f>IFERROR(E36/E37,0)</f>
        <v>0</v>
      </c>
      <c r="F38" s="15" t="s">
        <v>178</v>
      </c>
    </row>
    <row r="39" spans="1:6" ht="7.5" customHeight="1" x14ac:dyDescent="0.3"/>
    <row r="40" spans="1:6" ht="21.75" customHeight="1" x14ac:dyDescent="0.3">
      <c r="A40" s="70" t="s">
        <v>179</v>
      </c>
      <c r="B40" s="70"/>
      <c r="C40" s="70"/>
      <c r="D40" s="70"/>
      <c r="E40" s="70"/>
      <c r="F40" s="70"/>
    </row>
    <row r="41" spans="1:6" ht="18" customHeight="1" x14ac:dyDescent="0.3">
      <c r="A41" s="3" t="s">
        <v>4</v>
      </c>
      <c r="B41" s="4" t="s">
        <v>32</v>
      </c>
      <c r="C41" s="4" t="s">
        <v>33</v>
      </c>
      <c r="D41" s="4" t="s">
        <v>34</v>
      </c>
      <c r="E41" s="4" t="s">
        <v>35</v>
      </c>
      <c r="F41" s="4" t="s">
        <v>6</v>
      </c>
    </row>
    <row r="42" spans="1:6" x14ac:dyDescent="0.3">
      <c r="A42" s="5" t="s">
        <v>180</v>
      </c>
      <c r="B42" s="21">
        <f>SUM(C42:E42)</f>
        <v>6571.8288363636366</v>
      </c>
      <c r="C42" s="21">
        <f>C38</f>
        <v>3218.5494301097538</v>
      </c>
      <c r="D42" s="21">
        <f>D38</f>
        <v>3353.2794062538833</v>
      </c>
      <c r="E42" s="21">
        <f>E38</f>
        <v>0</v>
      </c>
      <c r="F42" s="2" t="s">
        <v>181</v>
      </c>
    </row>
    <row r="43" spans="1:6" x14ac:dyDescent="0.3">
      <c r="A43" s="5" t="s">
        <v>182</v>
      </c>
      <c r="B43" s="21">
        <f>SUM(C43:E43)</f>
        <v>7502.909090909091</v>
      </c>
      <c r="C43" s="21">
        <f>IFERROR((C18-C19)/C22,0)</f>
        <v>3674.5454545454545</v>
      </c>
      <c r="D43" s="21">
        <f>IFERROR((D18-D19)/D22,0)</f>
        <v>3828.3636363636365</v>
      </c>
      <c r="E43" s="21">
        <f>IFERROR((E18-E19)/E22,0)</f>
        <v>0</v>
      </c>
      <c r="F43" s="2" t="s">
        <v>183</v>
      </c>
    </row>
    <row r="44" spans="1:6" ht="18" customHeight="1" x14ac:dyDescent="0.3">
      <c r="A44" s="25" t="s">
        <v>184</v>
      </c>
      <c r="B44" s="54">
        <f>SUM(C44:E44)</f>
        <v>-931.08025454545395</v>
      </c>
      <c r="C44" s="54">
        <f>C42-C43</f>
        <v>-455.99602443570075</v>
      </c>
      <c r="D44" s="54">
        <f>D42-D43</f>
        <v>-475.08423010975321</v>
      </c>
      <c r="E44" s="54">
        <f>E42-E43</f>
        <v>0</v>
      </c>
      <c r="F44" s="28" t="s">
        <v>185</v>
      </c>
    </row>
    <row r="45" spans="1:6" x14ac:dyDescent="0.3">
      <c r="A45" s="5" t="s">
        <v>186</v>
      </c>
      <c r="B45" s="21">
        <f>SUM(C45:E45)</f>
        <v>-9310.8025454545386</v>
      </c>
      <c r="C45" s="21">
        <f>C44*10</f>
        <v>-4559.9602443570075</v>
      </c>
      <c r="D45" s="21">
        <f>D44*10</f>
        <v>-4750.8423010975321</v>
      </c>
      <c r="E45" s="21">
        <f>E44*10</f>
        <v>0</v>
      </c>
      <c r="F45" s="2" t="s">
        <v>187</v>
      </c>
    </row>
    <row r="46" spans="1:6" ht="7.5" customHeight="1" x14ac:dyDescent="0.3"/>
    <row r="47" spans="1:6" ht="21.75" customHeight="1" x14ac:dyDescent="0.3">
      <c r="A47" s="70" t="s">
        <v>188</v>
      </c>
      <c r="B47" s="70"/>
      <c r="C47" s="70"/>
      <c r="D47" s="70"/>
      <c r="E47" s="70"/>
      <c r="F47" s="70"/>
    </row>
    <row r="48" spans="1:6" ht="15.75" customHeight="1" x14ac:dyDescent="0.3">
      <c r="A48" s="5" t="s">
        <v>189</v>
      </c>
      <c r="B48" s="55">
        <v>2026</v>
      </c>
      <c r="F48" s="2" t="s">
        <v>190</v>
      </c>
    </row>
    <row r="49" spans="1:8" ht="18" customHeight="1" x14ac:dyDescent="0.3">
      <c r="A49" s="4" t="s">
        <v>191</v>
      </c>
      <c r="B49" s="4" t="s">
        <v>192</v>
      </c>
      <c r="C49" s="4" t="s">
        <v>33</v>
      </c>
      <c r="D49" s="4" t="s">
        <v>34</v>
      </c>
      <c r="E49" s="4" t="s">
        <v>35</v>
      </c>
      <c r="F49" s="4" t="s">
        <v>193</v>
      </c>
      <c r="H49" s="4" t="s">
        <v>194</v>
      </c>
    </row>
    <row r="50" spans="1:8" ht="15.75" customHeight="1" x14ac:dyDescent="0.3">
      <c r="A50" s="56">
        <v>1</v>
      </c>
      <c r="B50" s="57">
        <f>B48+0</f>
        <v>2026</v>
      </c>
      <c r="C50" s="21">
        <f>C38</f>
        <v>3218.5494301097538</v>
      </c>
      <c r="D50" s="21">
        <f>D38</f>
        <v>3353.2794062538833</v>
      </c>
      <c r="E50" s="21">
        <f>E38</f>
        <v>0</v>
      </c>
      <c r="F50" s="16">
        <f t="shared" ref="F50:F59" si="0">C50+D50+E50</f>
        <v>6571.8288363636366</v>
      </c>
      <c r="H50" s="21">
        <f>F50</f>
        <v>6571.8288363636366</v>
      </c>
    </row>
    <row r="51" spans="1:8" ht="15.75" customHeight="1" x14ac:dyDescent="0.3">
      <c r="A51" s="58">
        <v>2</v>
      </c>
      <c r="B51" s="59">
        <f>B48+1</f>
        <v>2027</v>
      </c>
      <c r="C51" s="20">
        <f>C38</f>
        <v>3218.5494301097538</v>
      </c>
      <c r="D51" s="20">
        <f>D38</f>
        <v>3353.2794062538833</v>
      </c>
      <c r="E51" s="20">
        <f>E38</f>
        <v>0</v>
      </c>
      <c r="F51" s="9">
        <f t="shared" si="0"/>
        <v>6571.8288363636366</v>
      </c>
      <c r="H51" s="20">
        <f t="shared" ref="H51:H59" si="1">H50+F51</f>
        <v>13143.657672727273</v>
      </c>
    </row>
    <row r="52" spans="1:8" ht="15.75" customHeight="1" x14ac:dyDescent="0.3">
      <c r="A52" s="56">
        <v>3</v>
      </c>
      <c r="B52" s="57">
        <f>B48+2</f>
        <v>2028</v>
      </c>
      <c r="C52" s="21">
        <f>C38</f>
        <v>3218.5494301097538</v>
      </c>
      <c r="D52" s="21">
        <f>D38</f>
        <v>3353.2794062538833</v>
      </c>
      <c r="E52" s="21">
        <f>E38</f>
        <v>0</v>
      </c>
      <c r="F52" s="16">
        <f t="shared" si="0"/>
        <v>6571.8288363636366</v>
      </c>
      <c r="H52" s="21">
        <f t="shared" si="1"/>
        <v>19715.486509090908</v>
      </c>
    </row>
    <row r="53" spans="1:8" ht="15.75" customHeight="1" x14ac:dyDescent="0.3">
      <c r="A53" s="58">
        <v>4</v>
      </c>
      <c r="B53" s="59">
        <f>B48+3</f>
        <v>2029</v>
      </c>
      <c r="C53" s="20">
        <f>C38</f>
        <v>3218.5494301097538</v>
      </c>
      <c r="D53" s="20">
        <f>D38</f>
        <v>3353.2794062538833</v>
      </c>
      <c r="E53" s="20">
        <f>E38</f>
        <v>0</v>
      </c>
      <c r="F53" s="9">
        <f t="shared" si="0"/>
        <v>6571.8288363636366</v>
      </c>
      <c r="H53" s="20">
        <f t="shared" si="1"/>
        <v>26287.315345454546</v>
      </c>
    </row>
    <row r="54" spans="1:8" ht="15.75" customHeight="1" x14ac:dyDescent="0.3">
      <c r="A54" s="56">
        <v>5</v>
      </c>
      <c r="B54" s="57">
        <f>B48+4</f>
        <v>2030</v>
      </c>
      <c r="C54" s="21">
        <f>C38</f>
        <v>3218.5494301097538</v>
      </c>
      <c r="D54" s="21">
        <f>D38</f>
        <v>3353.2794062538833</v>
      </c>
      <c r="E54" s="21">
        <f>E38</f>
        <v>0</v>
      </c>
      <c r="F54" s="16">
        <f t="shared" si="0"/>
        <v>6571.8288363636366</v>
      </c>
      <c r="H54" s="21">
        <f t="shared" si="1"/>
        <v>32859.144181818185</v>
      </c>
    </row>
    <row r="55" spans="1:8" ht="15.75" customHeight="1" x14ac:dyDescent="0.3">
      <c r="A55" s="58">
        <v>6</v>
      </c>
      <c r="B55" s="59">
        <f>B48+5</f>
        <v>2031</v>
      </c>
      <c r="C55" s="20">
        <f>C38</f>
        <v>3218.5494301097538</v>
      </c>
      <c r="D55" s="20">
        <f>D38</f>
        <v>3353.2794062538833</v>
      </c>
      <c r="E55" s="20">
        <f>E38</f>
        <v>0</v>
      </c>
      <c r="F55" s="9">
        <f t="shared" si="0"/>
        <v>6571.8288363636366</v>
      </c>
      <c r="H55" s="20">
        <f t="shared" si="1"/>
        <v>39430.973018181823</v>
      </c>
    </row>
    <row r="56" spans="1:8" ht="15.75" customHeight="1" x14ac:dyDescent="0.3">
      <c r="A56" s="56">
        <v>7</v>
      </c>
      <c r="B56" s="57">
        <f>B48+6</f>
        <v>2032</v>
      </c>
      <c r="C56" s="21">
        <f>C38</f>
        <v>3218.5494301097538</v>
      </c>
      <c r="D56" s="21">
        <f>D38</f>
        <v>3353.2794062538833</v>
      </c>
      <c r="E56" s="21">
        <f>E38</f>
        <v>0</v>
      </c>
      <c r="F56" s="16">
        <f t="shared" si="0"/>
        <v>6571.8288363636366</v>
      </c>
      <c r="H56" s="21">
        <f t="shared" si="1"/>
        <v>46002.801854545462</v>
      </c>
    </row>
    <row r="57" spans="1:8" ht="15.75" customHeight="1" x14ac:dyDescent="0.3">
      <c r="A57" s="58">
        <v>8</v>
      </c>
      <c r="B57" s="59">
        <f>B48+7</f>
        <v>2033</v>
      </c>
      <c r="C57" s="20">
        <f>C38</f>
        <v>3218.5494301097538</v>
      </c>
      <c r="D57" s="20">
        <f>D38</f>
        <v>3353.2794062538833</v>
      </c>
      <c r="E57" s="20">
        <f>E38</f>
        <v>0</v>
      </c>
      <c r="F57" s="9">
        <f t="shared" si="0"/>
        <v>6571.8288363636366</v>
      </c>
      <c r="H57" s="20">
        <f t="shared" si="1"/>
        <v>52574.6306909091</v>
      </c>
    </row>
    <row r="58" spans="1:8" ht="15.75" customHeight="1" x14ac:dyDescent="0.3">
      <c r="A58" s="56">
        <v>9</v>
      </c>
      <c r="B58" s="57">
        <f>B48+8</f>
        <v>2034</v>
      </c>
      <c r="C58" s="21">
        <f>C38</f>
        <v>3218.5494301097538</v>
      </c>
      <c r="D58" s="21">
        <f>D38</f>
        <v>3353.2794062538833</v>
      </c>
      <c r="E58" s="21">
        <f>E38</f>
        <v>0</v>
      </c>
      <c r="F58" s="16">
        <f t="shared" si="0"/>
        <v>6571.8288363636366</v>
      </c>
      <c r="H58" s="21">
        <f t="shared" si="1"/>
        <v>59146.459527272738</v>
      </c>
    </row>
    <row r="59" spans="1:8" ht="15.75" customHeight="1" x14ac:dyDescent="0.3">
      <c r="A59" s="58">
        <v>10</v>
      </c>
      <c r="B59" s="59">
        <f>B48+9</f>
        <v>2035</v>
      </c>
      <c r="C59" s="20">
        <f>C38</f>
        <v>3218.5494301097538</v>
      </c>
      <c r="D59" s="20">
        <f>D38</f>
        <v>3353.2794062538833</v>
      </c>
      <c r="E59" s="20">
        <f>E38</f>
        <v>0</v>
      </c>
      <c r="F59" s="9">
        <f t="shared" si="0"/>
        <v>6571.8288363636366</v>
      </c>
      <c r="H59" s="20">
        <f t="shared" si="1"/>
        <v>65718.288363636369</v>
      </c>
    </row>
    <row r="60" spans="1:8" ht="18" customHeight="1" x14ac:dyDescent="0.3">
      <c r="A60" s="60" t="s">
        <v>195</v>
      </c>
      <c r="B60" s="14"/>
      <c r="C60" s="13">
        <f>SUM(C50:C59)</f>
        <v>32185.494301097537</v>
      </c>
      <c r="D60" s="13">
        <f>SUM(D50:D59)</f>
        <v>33532.794062538822</v>
      </c>
      <c r="E60" s="13">
        <f>SUM(E50:E59)</f>
        <v>0</v>
      </c>
      <c r="F60" s="13">
        <f>SUM(F50:F59)</f>
        <v>65718.288363636369</v>
      </c>
      <c r="G60" s="14"/>
      <c r="H60" s="13">
        <f>H59</f>
        <v>65718.288363636369</v>
      </c>
    </row>
    <row r="61" spans="1:8" ht="7.5" customHeight="1" x14ac:dyDescent="0.3"/>
    <row r="62" spans="1:8" ht="45" customHeight="1" x14ac:dyDescent="0.3">
      <c r="A62" s="75" t="s">
        <v>196</v>
      </c>
      <c r="B62" s="75"/>
      <c r="C62" s="75"/>
      <c r="D62" s="75"/>
      <c r="E62" s="75"/>
      <c r="F62" s="75"/>
    </row>
  </sheetData>
  <mergeCells count="11">
    <mergeCell ref="A62:F62"/>
    <mergeCell ref="A24:F24"/>
    <mergeCell ref="C29:E29"/>
    <mergeCell ref="A31:F31"/>
    <mergeCell ref="A40:F40"/>
    <mergeCell ref="A47:F47"/>
    <mergeCell ref="A1:F1"/>
    <mergeCell ref="A2:F2"/>
    <mergeCell ref="A3:F3"/>
    <mergeCell ref="A5:F5"/>
    <mergeCell ref="A15:F15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0"/>
  <sheetViews>
    <sheetView zoomScaleNormal="100" workbookViewId="0">
      <pane ySplit="4" topLeftCell="A5" activePane="bottomLeft" state="frozen"/>
      <selection pane="bottomLeft" sqref="A1:G1"/>
    </sheetView>
  </sheetViews>
  <sheetFormatPr defaultColWidth="8.6640625" defaultRowHeight="14.4" x14ac:dyDescent="0.3"/>
  <cols>
    <col min="1" max="1" width="30" customWidth="1"/>
    <col min="2" max="2" width="8" customWidth="1"/>
    <col min="3" max="7" width="16" customWidth="1"/>
    <col min="8" max="8" width="3" customWidth="1"/>
    <col min="9" max="9" width="16" customWidth="1"/>
  </cols>
  <sheetData>
    <row r="1" spans="1:7" ht="30" customHeight="1" x14ac:dyDescent="0.3">
      <c r="A1" s="77" t="s">
        <v>197</v>
      </c>
      <c r="B1" s="77"/>
      <c r="C1" s="77"/>
      <c r="D1" s="77"/>
      <c r="E1" s="77"/>
      <c r="F1" s="77"/>
      <c r="G1" s="77"/>
    </row>
    <row r="2" spans="1:7" ht="18" customHeight="1" x14ac:dyDescent="0.3">
      <c r="A2" s="78" t="s">
        <v>198</v>
      </c>
      <c r="B2" s="78"/>
      <c r="C2" s="78"/>
      <c r="D2" s="78"/>
      <c r="E2" s="78"/>
      <c r="F2" s="78"/>
      <c r="G2" s="78"/>
    </row>
    <row r="3" spans="1:7" ht="13.5" customHeight="1" x14ac:dyDescent="0.3">
      <c r="A3" s="69" t="s">
        <v>199</v>
      </c>
      <c r="B3" s="69"/>
      <c r="C3" s="69"/>
      <c r="D3" s="69"/>
      <c r="E3" s="69"/>
      <c r="F3" s="69"/>
      <c r="G3" s="69"/>
    </row>
    <row r="4" spans="1:7" ht="6" customHeight="1" x14ac:dyDescent="0.3"/>
    <row r="5" spans="1:7" ht="19.5" customHeight="1" x14ac:dyDescent="0.3">
      <c r="A5" s="70" t="s">
        <v>200</v>
      </c>
      <c r="B5" s="70"/>
      <c r="C5" s="70"/>
      <c r="D5" s="70"/>
      <c r="E5" s="70"/>
      <c r="F5" s="70"/>
      <c r="G5" s="70"/>
    </row>
    <row r="6" spans="1:7" ht="18" customHeight="1" x14ac:dyDescent="0.3">
      <c r="A6" s="3" t="s">
        <v>4</v>
      </c>
      <c r="C6" s="4" t="s">
        <v>33</v>
      </c>
      <c r="D6" s="4" t="s">
        <v>34</v>
      </c>
      <c r="E6" s="4" t="s">
        <v>35</v>
      </c>
      <c r="F6" s="4" t="s">
        <v>201</v>
      </c>
    </row>
    <row r="7" spans="1:7" x14ac:dyDescent="0.3">
      <c r="A7" s="53" t="s">
        <v>156</v>
      </c>
      <c r="B7" s="10"/>
      <c r="C7" s="48">
        <f>'Exchange Calculator'!C26</f>
        <v>107500</v>
      </c>
      <c r="D7" s="48">
        <f>'Exchange Calculator'!D26</f>
        <v>112000</v>
      </c>
      <c r="E7" s="48">
        <f>'Exchange Calculator'!E26</f>
        <v>0</v>
      </c>
      <c r="F7" s="9">
        <f>C7+D7+E7</f>
        <v>219500</v>
      </c>
      <c r="G7" s="10"/>
    </row>
    <row r="8" spans="1:7" x14ac:dyDescent="0.3">
      <c r="A8" s="53" t="s">
        <v>202</v>
      </c>
      <c r="B8" s="10"/>
      <c r="C8" s="48">
        <f>'Exchange Calculator'!C29</f>
        <v>6450</v>
      </c>
      <c r="D8" s="48">
        <f>'Exchange Calculator'!D29</f>
        <v>6720</v>
      </c>
      <c r="E8" s="48">
        <f>'Exchange Calculator'!E29</f>
        <v>0</v>
      </c>
      <c r="F8" s="9">
        <f>C8+D8+E8</f>
        <v>13170</v>
      </c>
      <c r="G8" s="10"/>
    </row>
    <row r="9" spans="1:7" x14ac:dyDescent="0.3">
      <c r="A9" s="53" t="s">
        <v>203</v>
      </c>
      <c r="B9" s="10"/>
      <c r="C9" s="48">
        <f>'Basis Allocation'!C28</f>
        <v>94159.690774487477</v>
      </c>
      <c r="D9" s="48">
        <f>'Basis Allocation'!D28</f>
        <v>98101.259225512549</v>
      </c>
      <c r="E9" s="48">
        <f>'Basis Allocation'!E28</f>
        <v>0</v>
      </c>
      <c r="F9" s="9">
        <f>C9+D9+E9</f>
        <v>192260.95</v>
      </c>
      <c r="G9" s="10"/>
    </row>
    <row r="10" spans="1:7" x14ac:dyDescent="0.3">
      <c r="A10" s="61" t="s">
        <v>204</v>
      </c>
      <c r="C10" s="44">
        <f>'Basis Allocation'!C35</f>
        <v>5649.5814464692485</v>
      </c>
      <c r="D10" s="44">
        <f>'Basis Allocation'!D35</f>
        <v>5886.0755535307526</v>
      </c>
      <c r="E10" s="44">
        <f>'Basis Allocation'!E35</f>
        <v>0</v>
      </c>
      <c r="F10" s="16">
        <f>C10+D10+E10</f>
        <v>11535.657000000001</v>
      </c>
    </row>
    <row r="11" spans="1:7" x14ac:dyDescent="0.3">
      <c r="A11" s="62" t="s">
        <v>205</v>
      </c>
      <c r="B11" s="31"/>
      <c r="C11" s="63">
        <f>'Basis Allocation'!C36</f>
        <v>88510.109328018225</v>
      </c>
      <c r="D11" s="63">
        <f>'Basis Allocation'!D36</f>
        <v>92215.183671981795</v>
      </c>
      <c r="E11" s="63">
        <f>'Basis Allocation'!E36</f>
        <v>0</v>
      </c>
      <c r="F11" s="64">
        <f>C11+D11+E11</f>
        <v>180725.29300000001</v>
      </c>
      <c r="G11" s="31"/>
    </row>
    <row r="12" spans="1:7" x14ac:dyDescent="0.3">
      <c r="A12" s="53" t="s">
        <v>160</v>
      </c>
      <c r="B12" s="10"/>
      <c r="C12" s="65" t="str">
        <f>'Exchange Calculator'!C30</f>
        <v>Residential</v>
      </c>
      <c r="D12" s="65" t="str">
        <f>'Exchange Calculator'!D30</f>
        <v>Residential</v>
      </c>
      <c r="E12" s="65" t="str">
        <f>'Exchange Calculator'!E30</f>
        <v>Residential</v>
      </c>
      <c r="F12" s="10"/>
      <c r="G12" s="10"/>
    </row>
    <row r="13" spans="1:7" x14ac:dyDescent="0.3">
      <c r="A13" s="53" t="s">
        <v>206</v>
      </c>
      <c r="B13" s="10"/>
      <c r="C13" s="66">
        <f>'Exchange Calculator'!C33</f>
        <v>27.5</v>
      </c>
      <c r="D13" s="66">
        <f>'Exchange Calculator'!D33</f>
        <v>27.5</v>
      </c>
      <c r="E13" s="66">
        <f>'Exchange Calculator'!E33</f>
        <v>0</v>
      </c>
      <c r="F13" s="10"/>
      <c r="G13" s="10"/>
    </row>
    <row r="14" spans="1:7" ht="18" customHeight="1" x14ac:dyDescent="0.3">
      <c r="A14" s="12" t="s">
        <v>207</v>
      </c>
      <c r="B14" s="14"/>
      <c r="C14" s="45">
        <f>'Basis Allocation'!C38</f>
        <v>3218.5494301097538</v>
      </c>
      <c r="D14" s="45">
        <f>'Basis Allocation'!D38</f>
        <v>3353.2794062538833</v>
      </c>
      <c r="E14" s="45">
        <f>'Basis Allocation'!E38</f>
        <v>0</v>
      </c>
      <c r="F14" s="45">
        <f>C14+D14+E14</f>
        <v>6571.8288363636366</v>
      </c>
      <c r="G14" s="14"/>
    </row>
    <row r="15" spans="1:7" ht="7.5" customHeight="1" x14ac:dyDescent="0.3"/>
    <row r="16" spans="1:7" ht="21.75" customHeight="1" x14ac:dyDescent="0.3">
      <c r="A16" s="70" t="s">
        <v>208</v>
      </c>
      <c r="B16" s="70"/>
      <c r="C16" s="70"/>
      <c r="D16" s="70"/>
      <c r="E16" s="70"/>
      <c r="F16" s="70"/>
      <c r="G16" s="70"/>
    </row>
    <row r="17" spans="1:9" ht="15.75" customHeight="1" x14ac:dyDescent="0.3">
      <c r="A17" s="5" t="s">
        <v>189</v>
      </c>
      <c r="C17" s="55">
        <v>2026</v>
      </c>
    </row>
    <row r="18" spans="1:9" ht="3.75" customHeight="1" x14ac:dyDescent="0.3"/>
    <row r="19" spans="1:9" ht="18" customHeight="1" x14ac:dyDescent="0.3">
      <c r="A19" s="4" t="s">
        <v>191</v>
      </c>
      <c r="B19" s="4" t="s">
        <v>192</v>
      </c>
      <c r="C19" s="4" t="s">
        <v>33</v>
      </c>
      <c r="D19" s="4" t="s">
        <v>34</v>
      </c>
      <c r="E19" s="4" t="s">
        <v>35</v>
      </c>
      <c r="F19" s="4" t="s">
        <v>193</v>
      </c>
      <c r="I19" s="4" t="s">
        <v>194</v>
      </c>
    </row>
    <row r="20" spans="1:9" ht="15.75" customHeight="1" x14ac:dyDescent="0.3">
      <c r="A20" s="56">
        <v>1</v>
      </c>
      <c r="B20" s="57">
        <f>C17+0</f>
        <v>2026</v>
      </c>
      <c r="C20" s="21">
        <f>C14</f>
        <v>3218.5494301097538</v>
      </c>
      <c r="D20" s="21">
        <f>D14</f>
        <v>3353.2794062538833</v>
      </c>
      <c r="E20" s="21">
        <f>E14</f>
        <v>0</v>
      </c>
      <c r="F20" s="16">
        <f t="shared" ref="F20:F29" si="0">C20+D20+E20</f>
        <v>6571.8288363636366</v>
      </c>
      <c r="I20" s="21">
        <f>F20</f>
        <v>6571.8288363636366</v>
      </c>
    </row>
    <row r="21" spans="1:9" ht="15.75" customHeight="1" x14ac:dyDescent="0.3">
      <c r="A21" s="58">
        <v>2</v>
      </c>
      <c r="B21" s="59">
        <f>C17+1</f>
        <v>2027</v>
      </c>
      <c r="C21" s="20">
        <f>C14</f>
        <v>3218.5494301097538</v>
      </c>
      <c r="D21" s="20">
        <f>D14</f>
        <v>3353.2794062538833</v>
      </c>
      <c r="E21" s="20">
        <f>E14</f>
        <v>0</v>
      </c>
      <c r="F21" s="9">
        <f t="shared" si="0"/>
        <v>6571.8288363636366</v>
      </c>
      <c r="I21" s="20">
        <f t="shared" ref="I21:I29" si="1">I20+F21</f>
        <v>13143.657672727273</v>
      </c>
    </row>
    <row r="22" spans="1:9" ht="15.75" customHeight="1" x14ac:dyDescent="0.3">
      <c r="A22" s="56">
        <v>3</v>
      </c>
      <c r="B22" s="57">
        <f>C17+2</f>
        <v>2028</v>
      </c>
      <c r="C22" s="21">
        <f>C14</f>
        <v>3218.5494301097538</v>
      </c>
      <c r="D22" s="21">
        <f>D14</f>
        <v>3353.2794062538833</v>
      </c>
      <c r="E22" s="21">
        <f>E14</f>
        <v>0</v>
      </c>
      <c r="F22" s="16">
        <f t="shared" si="0"/>
        <v>6571.8288363636366</v>
      </c>
      <c r="I22" s="21">
        <f t="shared" si="1"/>
        <v>19715.486509090908</v>
      </c>
    </row>
    <row r="23" spans="1:9" ht="15.75" customHeight="1" x14ac:dyDescent="0.3">
      <c r="A23" s="58">
        <v>4</v>
      </c>
      <c r="B23" s="59">
        <f>C17+3</f>
        <v>2029</v>
      </c>
      <c r="C23" s="20">
        <f>C14</f>
        <v>3218.5494301097538</v>
      </c>
      <c r="D23" s="20">
        <f>D14</f>
        <v>3353.2794062538833</v>
      </c>
      <c r="E23" s="20">
        <f>E14</f>
        <v>0</v>
      </c>
      <c r="F23" s="9">
        <f t="shared" si="0"/>
        <v>6571.8288363636366</v>
      </c>
      <c r="I23" s="20">
        <f t="shared" si="1"/>
        <v>26287.315345454546</v>
      </c>
    </row>
    <row r="24" spans="1:9" ht="15.75" customHeight="1" x14ac:dyDescent="0.3">
      <c r="A24" s="56">
        <v>5</v>
      </c>
      <c r="B24" s="57">
        <f>C17+4</f>
        <v>2030</v>
      </c>
      <c r="C24" s="21">
        <f>C14</f>
        <v>3218.5494301097538</v>
      </c>
      <c r="D24" s="21">
        <f>D14</f>
        <v>3353.2794062538833</v>
      </c>
      <c r="E24" s="21">
        <f>E14</f>
        <v>0</v>
      </c>
      <c r="F24" s="16">
        <f t="shared" si="0"/>
        <v>6571.8288363636366</v>
      </c>
      <c r="I24" s="21">
        <f t="shared" si="1"/>
        <v>32859.144181818185</v>
      </c>
    </row>
    <row r="25" spans="1:9" ht="15.75" customHeight="1" x14ac:dyDescent="0.3">
      <c r="A25" s="58">
        <v>6</v>
      </c>
      <c r="B25" s="59">
        <f>C17+5</f>
        <v>2031</v>
      </c>
      <c r="C25" s="20">
        <f>C14</f>
        <v>3218.5494301097538</v>
      </c>
      <c r="D25" s="20">
        <f>D14</f>
        <v>3353.2794062538833</v>
      </c>
      <c r="E25" s="20">
        <f>E14</f>
        <v>0</v>
      </c>
      <c r="F25" s="9">
        <f t="shared" si="0"/>
        <v>6571.8288363636366</v>
      </c>
      <c r="I25" s="20">
        <f t="shared" si="1"/>
        <v>39430.973018181823</v>
      </c>
    </row>
    <row r="26" spans="1:9" ht="15.75" customHeight="1" x14ac:dyDescent="0.3">
      <c r="A26" s="56">
        <v>7</v>
      </c>
      <c r="B26" s="57">
        <f>C17+6</f>
        <v>2032</v>
      </c>
      <c r="C26" s="21">
        <f>C14</f>
        <v>3218.5494301097538</v>
      </c>
      <c r="D26" s="21">
        <f>D14</f>
        <v>3353.2794062538833</v>
      </c>
      <c r="E26" s="21">
        <f>E14</f>
        <v>0</v>
      </c>
      <c r="F26" s="16">
        <f t="shared" si="0"/>
        <v>6571.8288363636366</v>
      </c>
      <c r="I26" s="21">
        <f t="shared" si="1"/>
        <v>46002.801854545462</v>
      </c>
    </row>
    <row r="27" spans="1:9" ht="15.75" customHeight="1" x14ac:dyDescent="0.3">
      <c r="A27" s="58">
        <v>8</v>
      </c>
      <c r="B27" s="59">
        <f>C17+7</f>
        <v>2033</v>
      </c>
      <c r="C27" s="20">
        <f>C14</f>
        <v>3218.5494301097538</v>
      </c>
      <c r="D27" s="20">
        <f>D14</f>
        <v>3353.2794062538833</v>
      </c>
      <c r="E27" s="20">
        <f>E14</f>
        <v>0</v>
      </c>
      <c r="F27" s="9">
        <f t="shared" si="0"/>
        <v>6571.8288363636366</v>
      </c>
      <c r="I27" s="20">
        <f t="shared" si="1"/>
        <v>52574.6306909091</v>
      </c>
    </row>
    <row r="28" spans="1:9" ht="15.75" customHeight="1" x14ac:dyDescent="0.3">
      <c r="A28" s="56">
        <v>9</v>
      </c>
      <c r="B28" s="57">
        <f>C17+8</f>
        <v>2034</v>
      </c>
      <c r="C28" s="21">
        <f>C14</f>
        <v>3218.5494301097538</v>
      </c>
      <c r="D28" s="21">
        <f>D14</f>
        <v>3353.2794062538833</v>
      </c>
      <c r="E28" s="21">
        <f>E14</f>
        <v>0</v>
      </c>
      <c r="F28" s="16">
        <f t="shared" si="0"/>
        <v>6571.8288363636366</v>
      </c>
      <c r="I28" s="21">
        <f t="shared" si="1"/>
        <v>59146.459527272738</v>
      </c>
    </row>
    <row r="29" spans="1:9" ht="15.75" customHeight="1" x14ac:dyDescent="0.3">
      <c r="A29" s="58">
        <v>10</v>
      </c>
      <c r="B29" s="59">
        <f>C17+9</f>
        <v>2035</v>
      </c>
      <c r="C29" s="20">
        <f>C14</f>
        <v>3218.5494301097538</v>
      </c>
      <c r="D29" s="20">
        <f>D14</f>
        <v>3353.2794062538833</v>
      </c>
      <c r="E29" s="20">
        <f>E14</f>
        <v>0</v>
      </c>
      <c r="F29" s="9">
        <f t="shared" si="0"/>
        <v>6571.8288363636366</v>
      </c>
      <c r="I29" s="20">
        <f t="shared" si="1"/>
        <v>65718.288363636369</v>
      </c>
    </row>
    <row r="30" spans="1:9" ht="18" customHeight="1" x14ac:dyDescent="0.3">
      <c r="A30" s="60" t="s">
        <v>195</v>
      </c>
      <c r="B30" s="14"/>
      <c r="C30" s="13">
        <f>SUM(C20:C29)</f>
        <v>32185.494301097537</v>
      </c>
      <c r="D30" s="13">
        <f>SUM(D20:D29)</f>
        <v>33532.794062538822</v>
      </c>
      <c r="E30" s="13">
        <f>SUM(E20:E29)</f>
        <v>0</v>
      </c>
      <c r="F30" s="13">
        <f>SUM(F20:F29)</f>
        <v>65718.288363636369</v>
      </c>
      <c r="G30" s="14"/>
      <c r="H30" s="14"/>
      <c r="I30" s="13">
        <f>I29</f>
        <v>65718.288363636369</v>
      </c>
    </row>
  </sheetData>
  <mergeCells count="5">
    <mergeCell ref="A1:G1"/>
    <mergeCell ref="A2:G2"/>
    <mergeCell ref="A3:G3"/>
    <mergeCell ref="A5:G5"/>
    <mergeCell ref="A16:G16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Exchange Calculator</vt:lpstr>
      <vt:lpstr>Basis Allocation</vt:lpstr>
      <vt:lpstr>Depreciation Schedule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Andrew Walsh</cp:lastModifiedBy>
  <cp:revision>0</cp:revision>
  <dcterms:created xsi:type="dcterms:W3CDTF">2026-06-02T19:00:37Z</dcterms:created>
  <dcterms:modified xsi:type="dcterms:W3CDTF">2026-06-20T03:06:19Z</dcterms:modified>
  <dc:language>en-US</dc:language>
</cp:coreProperties>
</file>